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'Anne-10'!$A$1:$P$33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'Anne-9'!$A$1:$R$25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<sst xmlns="http://schemas.openxmlformats.org/spreadsheetml/2006/main" count="758" uniqueCount="252">
  <si>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</si>
  <si>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</si>
  <si>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</si>
  <si>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</si>
  <si>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</si>
  <si>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</si>
  <si>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</si>
  <si>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</si>
  <si>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</si>
  <si>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</si>
  <si>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</si>
  <si>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</si>
  <si>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</si>
  <si>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</si>
  <si>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</si>
  <si>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</si>
  <si>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</si>
  <si>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</si>
  <si>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</si>
  <si>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</si>
  <si>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</si>
  <si>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</si>
  <si>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</si>
  <si>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</si>
  <si>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</si>
  <si>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</si>
  <si>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</si>
  <si>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</si>
  <si>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</si>
  <si>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</si>
  <si>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</si>
  <si>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</si>
  <si>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</si>
  <si>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</si>
  <si>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</si>
  <si>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</si>
  <si>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</si>
  <si>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</si>
  <si>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</si>
  <si>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</si>
  <si>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</si>
  <si>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</si>
  <si>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</si>
  <si>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</si>
  <si>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</si>
  <si>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</si>
  <si>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</si>
  <si>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</si>
  <si>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</si>
  <si>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</si>
  <si>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</si>
  <si>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</si>
  <si>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</si>
  <si>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</si>
  <si>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</si>
  <si>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</si>
  <si>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</si>
  <si>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</si>
  <si>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</si>
  <si>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</si>
  <si>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</si>
  <si>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</si>
  <si>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</si>
  <si>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</si>
  <si>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</si>
  <si>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</si>
  <si>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</si>
  <si>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</si>
  <si>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</si>
  <si>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</si>
  <si>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</si>
  <si>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</si>
  <si>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</si>
  <si>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</si>
  <si>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</si>
  <si>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</si>
  <si>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</si>
  <si>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</si>
  <si>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</si>
  <si>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</si>
  <si>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</si>
  <si>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</si>
  <si>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</si>
  <si>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</si>
  <si>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</si>
  <si>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</si>
  <si>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</si>
  <si>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</si>
  <si>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</si>
  <si>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</si>
  <si>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</si>
  <si>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</si>
  <si>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</si>
  <si>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</si>
  <si>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</si>
  <si>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</si>
  <si>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</si>
  <si>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</si>
  <si>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</si>
  <si>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</si>
  <si>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</si>
  <si>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</si>
  <si>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</si>
  <si>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</si>
  <si>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</si>
  <si>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</si>
  <si>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</si>
  <si>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</si>
  <si>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</si>
  <si>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</si>
  <si>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</si>
  <si>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</si>
  <si>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</si>
  <si>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</si>
  <si>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</si>
  <si>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</si>
  <si>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</si>
  <si>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</si>
  <si>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</si>
  <si>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</si>
  <si>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</si>
  <si>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</si>
  <si>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</si>
  <si>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</si>
  <si>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</si>
  <si>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</si>
  <si>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</si>
  <si>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</si>
  <si>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</si>
  <si>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</si>
  <si>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</si>
  <si>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</si>
  <si>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</si>
  <si>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</si>
  <si>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</si>
  <si>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</si>
  <si>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</si>
  <si>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</si>
  <si>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</si>
  <si>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</si>
  <si>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</si>
  <si>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</si>
  <si>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</si>
  <si>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</si>
  <si>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</si>
  <si>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</si>
  <si>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</si>
  <si>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</si>
  <si>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</si>
  <si>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</si>
  <si>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</si>
  <si>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</si>
  <si>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</si>
  <si>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</si>
  <si>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</si>
  <si>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</si>
  <si>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</si>
  <si>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</si>
  <si>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</si>
  <si>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</si>
  <si>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</si>
  <si>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</si>
  <si>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</si>
  <si>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</si>
  <si>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</si>
  <si>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</si>
  <si>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</si>
  <si>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</si>
  <si>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</si>
  <si>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</si>
  <si>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</si>
  <si>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</si>
  <si>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</si>
  <si>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</si>
  <si>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</si>
  <si>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</si>
  <si>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</si>
  <si>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</si>
  <si>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</si>
  <si>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30.04.2011</t>
  </si>
  <si>
    <t>Sub:- Growth in Telecom Sector during last Eleven years</t>
  </si>
  <si>
    <t>Connection</t>
  </si>
  <si>
    <t>Population (000)</t>
  </si>
  <si>
    <t>Teledensity</t>
  </si>
  <si>
    <t>31.03.2012</t>
  </si>
  <si>
    <t>30.04.2012</t>
  </si>
  <si>
    <t>Conn. As on 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</si>
  <si>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</si>
  <si>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</si>
  <si>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</si>
  <si>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</si>
  <si>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</si>
  <si>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</si>
  <si>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Addition during 2012-13</t>
  </si>
  <si>
    <t>31.03.2013</t>
  </si>
  <si>
    <t>Note: As per TRAI report, M/s Etisalat, S. Tel and Loop (Except for Mumbai Circle) have submitted that there are no active subscribers on their network hence their figures have been taken as Zero.</t>
  </si>
  <si>
    <t>#</t>
  </si>
  <si>
    <t>(1)  West Bengal Telecom Circle Licensing Area includes A &amp; N Circle</t>
  </si>
  <si>
    <t>Note: #</t>
  </si>
  <si>
    <t>Vodaphone</t>
  </si>
  <si>
    <t>Tata</t>
  </si>
  <si>
    <t>Quadrant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</si>
  <si>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</si>
  <si>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</si>
  <si>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</si>
  <si>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</si>
  <si>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</si>
  <si>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</si>
  <si>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</si>
  <si>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</si>
  <si>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</si>
  <si>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</si>
  <si>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</si>
  <si>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</si>
  <si>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</si>
  <si>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</si>
  <si>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</si>
  <si>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</si>
  <si>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</si>
  <si>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</si>
  <si>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</si>
  <si>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</si>
  <si>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</si>
  <si>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</si>
  <si>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Reliance.</t>
  </si>
  <si>
    <t>Total telephones operator wise and Market share as on 31.03.2013</t>
  </si>
  <si>
    <t>%age contribution of BSNL in Telephone connection Achievement during 2012-13 (upto 31.03.2013)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</si>
  <si>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31.03.2013</t>
    </r>
  </si>
  <si>
    <t>Wireless telephone connections operator wise and circle wise as on 31.03.2013</t>
  </si>
  <si>
    <t>Mobile telephone connections operator wise and circle wise as on 31.03.2013</t>
  </si>
  <si>
    <t>WLL telephone service operator wise and circle wise as on 31.03.2013</t>
  </si>
  <si>
    <t>Wireline telephone service operator wise and circle wise as on 31.03.2013</t>
  </si>
  <si>
    <t>Month wise telephone connection provided by BSNL &amp; All operators during 2011-12 and 2012-13 (upto March)</t>
  </si>
  <si>
    <t xml:space="preserve">Operator wise Proportion of VLR subscribers (Service Provider wise) as on 28.02.2013 </t>
  </si>
  <si>
    <t>Sub:- Tele-density Circlewise urban Rural Area &amp; All operators as on 31/03/2013.</t>
  </si>
  <si>
    <t>Sub: Proportion of VLR subscribers (Service Provider wise) as on 28.02.2013</t>
  </si>
  <si>
    <t>Sub:- Total telephones connections operatorwise  &amp; Market Share as on 31.03.2013</t>
  </si>
  <si>
    <t>Achievement during 2012-13 (upto 31.03.2013)</t>
  </si>
  <si>
    <t>SUB: %age contribution of BSNL in Telephone connection Achievement during 2012-13 (upto 31.03.2013)</t>
  </si>
  <si>
    <t>Sub:- Total telephones Operator &amp; Circlewise as on 31/03/2013.</t>
  </si>
  <si>
    <t>Conn. As on 28.02.2013</t>
  </si>
  <si>
    <t>Addition during Mar 2013</t>
  </si>
  <si>
    <t>Sub:- Wireless telephones Cellular Operator &amp; circle wise as on 31/03/2013</t>
  </si>
  <si>
    <t>Sub:- GSM Mobile telephones Service Operator &amp; circle wise as on 31/03/2013</t>
  </si>
  <si>
    <t>Sub:- CDMA WLL telephones Service Operator &amp; Circle wise as on 31/03/2013</t>
  </si>
  <si>
    <t>Sub:- Wire line telephones Service Operator &amp; Circle wise as on 31/03/2013</t>
  </si>
  <si>
    <t>Note:  *Vodafone Status is as on 28.02.2013</t>
  </si>
  <si>
    <t>Population Mar. -2013 (in thousand)</t>
  </si>
  <si>
    <t>Population March -2013 (in thousand)</t>
  </si>
  <si>
    <t>Dated: 30th April 2013.</t>
  </si>
  <si>
    <t>Sub: Telephone connection Provided by BSNL &amp; All operators during 2011-12 and 2012-13 (upto 31.03.13)</t>
  </si>
  <si>
    <t>Teledensity Circle wise for Urban, Rural areas and all operators as on 31.03.2013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</si>
</sst>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24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24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24" borderId="37" xfId="15" applyFont="1" applyFill="1" applyBorder="1" applyAlignment="1">
      <alignment horizontal="center"/>
      <protection/>
    </xf>
    <xf numFmtId="0" fontId="4" fillId="24" borderId="38" xfId="15" applyFont="1" applyFill="1" applyBorder="1">
      <alignment/>
      <protection/>
    </xf>
    <xf numFmtId="4" fontId="4" fillId="24" borderId="37" xfId="15" applyNumberFormat="1" applyFont="1" applyFill="1" applyBorder="1" applyAlignment="1">
      <alignment horizontal="center"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38" xfId="15" applyNumberFormat="1" applyFont="1" applyFill="1" applyBorder="1" applyAlignment="1">
      <alignment horizontal="center"/>
      <protection/>
    </xf>
    <xf numFmtId="2" fontId="4" fillId="24" borderId="37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38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12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24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24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24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4" fontId="4" fillId="0" borderId="42" xfId="0" applyNumberFormat="1" applyFont="1" applyBorder="1" applyAlignment="1">
      <alignment horizontal="center" vertical="center"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24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25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57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6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0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1" xfId="15" applyNumberFormat="1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11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880451"/>
        <c:axId val="44119272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679625"/>
        <c:axId val="7073078"/>
      </c:lineChart>
      <c:dateAx>
        <c:axId val="1888045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192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11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80451"/>
        <c:crossesAt val="1"/>
        <c:crossBetween val="between"/>
        <c:dispUnits/>
      </c:valAx>
      <c:dateAx>
        <c:axId val="36679625"/>
        <c:scaling>
          <c:orientation val="minMax"/>
        </c:scaling>
        <c:axPos val="b"/>
        <c:delete val="1"/>
        <c:majorTickMark val="out"/>
        <c:minorTickMark val="none"/>
        <c:tickLblPos val="nextTo"/>
        <c:crossAx val="7073078"/>
        <c:crosses val="autoZero"/>
        <c:auto val="0"/>
        <c:noMultiLvlLbl val="0"/>
      </c:dateAx>
      <c:valAx>
        <c:axId val="7073078"/>
        <c:scaling>
          <c:orientation val="minMax"/>
          <c:max val="10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796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"/>
          <c:y val="0.0535"/>
          <c:w val="0.193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04775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14</xdr:col>
      <xdr:colOff>809625</xdr:colOff>
      <xdr:row>29</xdr:row>
      <xdr:rowOff>142875</xdr:rowOff>
    </xdr:to>
    <xdr:graphicFrame>
      <xdr:nvGraphicFramePr>
        <xdr:cNvPr id="2" name="Chart 3"/>
        <xdr:cNvGraphicFramePr/>
      </xdr:nvGraphicFramePr>
      <xdr:xfrm>
        <a:off x="0" y="581025"/>
        <a:ext cx="9610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2.140625" style="0" customWidth="1"/>
    <col min="2" max="2" width="103.00390625" style="0" customWidth="1"/>
  </cols>
  <sheetData>
    <row r="2" spans="1:2" ht="12.75">
      <c r="A2" s="472" t="s">
        <v>222</v>
      </c>
      <c r="B2" s="472"/>
    </row>
    <row r="4" spans="1:2" ht="24.75" customHeight="1">
      <c r="A4" s="444" t="s">
        <v>111</v>
      </c>
      <c r="B4" s="442" t="s">
        <v>251</v>
      </c>
    </row>
    <row r="5" spans="1:2" ht="24.75" customHeight="1">
      <c r="A5" s="444" t="s">
        <v>211</v>
      </c>
      <c r="B5" s="442" t="s">
        <v>225</v>
      </c>
    </row>
    <row r="6" spans="1:2" ht="24.75" customHeight="1">
      <c r="A6" s="444" t="s">
        <v>212</v>
      </c>
      <c r="B6" s="442" t="s">
        <v>226</v>
      </c>
    </row>
    <row r="7" spans="1:2" ht="24.75" customHeight="1">
      <c r="A7" s="444" t="s">
        <v>213</v>
      </c>
      <c r="B7" s="442" t="s">
        <v>227</v>
      </c>
    </row>
    <row r="8" spans="1:2" ht="24.75" customHeight="1">
      <c r="A8" s="444" t="s">
        <v>214</v>
      </c>
      <c r="B8" s="442" t="s">
        <v>228</v>
      </c>
    </row>
    <row r="9" spans="1:2" ht="24.75" customHeight="1">
      <c r="A9" s="444" t="s">
        <v>215</v>
      </c>
      <c r="B9" s="442" t="s">
        <v>229</v>
      </c>
    </row>
    <row r="10" spans="1:2" ht="24.75" customHeight="1">
      <c r="A10" s="444" t="s">
        <v>216</v>
      </c>
      <c r="B10" s="442" t="s">
        <v>230</v>
      </c>
    </row>
    <row r="11" spans="1:2" ht="24.75" customHeight="1">
      <c r="A11" s="444" t="s">
        <v>217</v>
      </c>
      <c r="B11" s="442" t="s">
        <v>231</v>
      </c>
    </row>
    <row r="12" spans="1:6" ht="24.75" customHeight="1">
      <c r="A12" s="444" t="s">
        <v>218</v>
      </c>
      <c r="B12" s="442" t="s">
        <v>219</v>
      </c>
      <c r="F12" s="443"/>
    </row>
    <row r="13" spans="1:2" ht="24.75" customHeight="1">
      <c r="A13" s="444" t="s">
        <v>220</v>
      </c>
      <c r="B13" s="442" t="s">
        <v>232</v>
      </c>
    </row>
    <row r="14" spans="1:2" ht="24.75" customHeight="1">
      <c r="A14" s="444" t="s">
        <v>221</v>
      </c>
      <c r="B14" s="442" t="s">
        <v>233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25" sqref="C25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30th April 2013.</v>
      </c>
      <c r="P1" s="29" t="s">
        <v>172</v>
      </c>
    </row>
    <row r="2" ht="15.75">
      <c r="N2" s="29"/>
    </row>
    <row r="3" spans="2:14" ht="15.75">
      <c r="B3" s="29" t="s">
        <v>180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486" t="s">
        <v>62</v>
      </c>
      <c r="B5" s="484" t="s">
        <v>156</v>
      </c>
      <c r="C5" s="463" t="s">
        <v>157</v>
      </c>
      <c r="D5" s="464"/>
      <c r="E5" s="464"/>
      <c r="F5" s="464"/>
      <c r="G5" s="465"/>
      <c r="H5" s="463" t="s">
        <v>158</v>
      </c>
      <c r="I5" s="464"/>
      <c r="J5" s="464"/>
      <c r="K5" s="464"/>
      <c r="L5" s="465"/>
      <c r="M5" s="463" t="s">
        <v>159</v>
      </c>
      <c r="N5" s="464"/>
      <c r="O5" s="464"/>
      <c r="P5" s="464"/>
      <c r="Q5" s="465"/>
    </row>
    <row r="6" spans="1:17" ht="16.5" customHeight="1">
      <c r="A6" s="487"/>
      <c r="B6" s="582"/>
      <c r="C6" s="462" t="s">
        <v>160</v>
      </c>
      <c r="D6" s="460"/>
      <c r="E6" s="460" t="s">
        <v>161</v>
      </c>
      <c r="F6" s="460"/>
      <c r="G6" s="461" t="s">
        <v>70</v>
      </c>
      <c r="H6" s="462" t="s">
        <v>160</v>
      </c>
      <c r="I6" s="460"/>
      <c r="J6" s="460" t="s">
        <v>161</v>
      </c>
      <c r="K6" s="460"/>
      <c r="L6" s="461" t="s">
        <v>70</v>
      </c>
      <c r="M6" s="462" t="s">
        <v>160</v>
      </c>
      <c r="N6" s="460"/>
      <c r="O6" s="460" t="s">
        <v>161</v>
      </c>
      <c r="P6" s="460"/>
      <c r="Q6" s="461" t="s">
        <v>70</v>
      </c>
    </row>
    <row r="7" spans="1:17" ht="22.5" customHeight="1">
      <c r="A7" s="462"/>
      <c r="B7" s="461"/>
      <c r="C7" s="462"/>
      <c r="D7" s="460"/>
      <c r="E7" s="460"/>
      <c r="F7" s="460"/>
      <c r="G7" s="461"/>
      <c r="H7" s="462"/>
      <c r="I7" s="460"/>
      <c r="J7" s="460"/>
      <c r="K7" s="460"/>
      <c r="L7" s="461"/>
      <c r="M7" s="462"/>
      <c r="N7" s="460"/>
      <c r="O7" s="460"/>
      <c r="P7" s="460"/>
      <c r="Q7" s="461"/>
    </row>
    <row r="8" spans="1:28" s="270" customFormat="1" ht="24.75" customHeight="1" thickBot="1">
      <c r="A8" s="265">
        <v>1</v>
      </c>
      <c r="B8" s="266" t="s">
        <v>162</v>
      </c>
      <c r="C8" s="583">
        <v>28.04</v>
      </c>
      <c r="D8" s="584"/>
      <c r="E8" s="585">
        <v>2.62</v>
      </c>
      <c r="F8" s="584"/>
      <c r="G8" s="267">
        <f>SUM(C8:F8)</f>
        <v>30.66</v>
      </c>
      <c r="H8" s="583">
        <v>23.93</v>
      </c>
      <c r="I8" s="584"/>
      <c r="J8" s="585">
        <v>0</v>
      </c>
      <c r="K8" s="584"/>
      <c r="L8" s="267">
        <f>SUM(H8:K8)</f>
        <v>23.93</v>
      </c>
      <c r="M8" s="579">
        <f>H8/C8*100</f>
        <v>85.34236804564908</v>
      </c>
      <c r="N8" s="580"/>
      <c r="O8" s="581">
        <f>J8/E8*100</f>
        <v>0</v>
      </c>
      <c r="P8" s="580"/>
      <c r="Q8" s="269">
        <f>L8/G8*100</f>
        <v>78.04957599478148</v>
      </c>
      <c r="S8" s="271"/>
      <c r="T8" s="272"/>
      <c r="U8" s="272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486" t="s">
        <v>62</v>
      </c>
      <c r="B10" s="484" t="s">
        <v>156</v>
      </c>
      <c r="C10" s="463" t="s">
        <v>157</v>
      </c>
      <c r="D10" s="464"/>
      <c r="E10" s="464"/>
      <c r="F10" s="464"/>
      <c r="G10" s="465"/>
      <c r="H10" s="463" t="s">
        <v>158</v>
      </c>
      <c r="I10" s="464"/>
      <c r="J10" s="464"/>
      <c r="K10" s="464"/>
      <c r="L10" s="465"/>
      <c r="M10" s="463" t="s">
        <v>159</v>
      </c>
      <c r="N10" s="464"/>
      <c r="O10" s="464"/>
      <c r="P10" s="464"/>
      <c r="Q10" s="465"/>
    </row>
    <row r="11" spans="1:17" ht="16.5" customHeight="1">
      <c r="A11" s="487"/>
      <c r="B11" s="582"/>
      <c r="C11" s="462" t="s">
        <v>141</v>
      </c>
      <c r="D11" s="460" t="s">
        <v>139</v>
      </c>
      <c r="E11" s="460"/>
      <c r="F11" s="460"/>
      <c r="G11" s="461" t="s">
        <v>70</v>
      </c>
      <c r="H11" s="462" t="s">
        <v>141</v>
      </c>
      <c r="I11" s="460" t="s">
        <v>139</v>
      </c>
      <c r="J11" s="460"/>
      <c r="K11" s="460"/>
      <c r="L11" s="461" t="s">
        <v>70</v>
      </c>
      <c r="M11" s="462" t="s">
        <v>141</v>
      </c>
      <c r="N11" s="460" t="s">
        <v>139</v>
      </c>
      <c r="O11" s="460"/>
      <c r="P11" s="460"/>
      <c r="Q11" s="461" t="s">
        <v>70</v>
      </c>
    </row>
    <row r="12" spans="1:17" ht="21" customHeight="1">
      <c r="A12" s="462"/>
      <c r="B12" s="461"/>
      <c r="C12" s="462"/>
      <c r="D12" s="183" t="s">
        <v>131</v>
      </c>
      <c r="E12" s="183" t="s">
        <v>138</v>
      </c>
      <c r="F12" s="183" t="s">
        <v>89</v>
      </c>
      <c r="G12" s="461"/>
      <c r="H12" s="462"/>
      <c r="I12" s="183" t="s">
        <v>131</v>
      </c>
      <c r="J12" s="183" t="s">
        <v>138</v>
      </c>
      <c r="K12" s="183" t="s">
        <v>89</v>
      </c>
      <c r="L12" s="461"/>
      <c r="M12" s="462"/>
      <c r="N12" s="183" t="s">
        <v>131</v>
      </c>
      <c r="O12" s="183" t="s">
        <v>138</v>
      </c>
      <c r="P12" s="183" t="s">
        <v>89</v>
      </c>
      <c r="Q12" s="461"/>
    </row>
    <row r="13" spans="1:28" s="270" customFormat="1" ht="24.75" customHeight="1">
      <c r="A13" s="273">
        <v>2</v>
      </c>
      <c r="B13" s="274" t="s">
        <v>163</v>
      </c>
      <c r="C13" s="275">
        <v>32.512157</v>
      </c>
      <c r="D13" s="276">
        <v>0.074725</v>
      </c>
      <c r="E13" s="276">
        <v>3.577095</v>
      </c>
      <c r="F13" s="276">
        <f aca="true" t="shared" si="0" ref="F13:F25">SUM(D13:E13)</f>
        <v>3.65182</v>
      </c>
      <c r="G13" s="277">
        <f aca="true" t="shared" si="1" ref="G13:G25">C13+F13</f>
        <v>36.163977</v>
      </c>
      <c r="H13" s="275">
        <v>28.108976</v>
      </c>
      <c r="I13" s="276">
        <v>0</v>
      </c>
      <c r="J13" s="276">
        <v>0</v>
      </c>
      <c r="K13" s="276">
        <v>0</v>
      </c>
      <c r="L13" s="277">
        <f aca="true" t="shared" si="2" ref="L13:L25">H13+K13</f>
        <v>28.108976</v>
      </c>
      <c r="M13" s="278">
        <f>H13/C13*100</f>
        <v>86.45681675319172</v>
      </c>
      <c r="N13" s="279">
        <f>I13/D13*100</f>
        <v>0</v>
      </c>
      <c r="O13" s="279">
        <f>J13/E13*100</f>
        <v>0</v>
      </c>
      <c r="P13" s="279">
        <f>K13/F13*100</f>
        <v>0</v>
      </c>
      <c r="Q13" s="280">
        <f>L13/G13*100</f>
        <v>77.726451380057</v>
      </c>
      <c r="S13" s="271"/>
      <c r="T13" s="272"/>
      <c r="U13" s="272"/>
      <c r="AA13" s="160">
        <v>29.14983</v>
      </c>
      <c r="AB13" s="160">
        <f>AA13/AA19*100</f>
        <v>77.09726343320534</v>
      </c>
    </row>
    <row r="14" spans="1:28" s="270" customFormat="1" ht="24.75" customHeight="1">
      <c r="A14" s="273">
        <v>3</v>
      </c>
      <c r="B14" s="274" t="s">
        <v>164</v>
      </c>
      <c r="C14" s="275">
        <v>38.072367</v>
      </c>
      <c r="D14" s="276">
        <v>0.455953</v>
      </c>
      <c r="E14" s="276">
        <v>6.43152</v>
      </c>
      <c r="F14" s="276">
        <f t="shared" si="0"/>
        <v>6.887473</v>
      </c>
      <c r="G14" s="277">
        <f t="shared" si="1"/>
        <v>44.95984</v>
      </c>
      <c r="H14" s="275">
        <v>33.204489</v>
      </c>
      <c r="I14" s="276">
        <v>0.196699</v>
      </c>
      <c r="J14" s="276">
        <v>0.017677</v>
      </c>
      <c r="K14" s="276">
        <f aca="true" t="shared" si="3" ref="K14:K25">SUM(I14:J14)</f>
        <v>0.214376</v>
      </c>
      <c r="L14" s="277">
        <f t="shared" si="2"/>
        <v>33.418865000000004</v>
      </c>
      <c r="M14" s="278">
        <f aca="true" t="shared" si="4" ref="M14:Q22">H14/C14*100</f>
        <v>87.21414405361243</v>
      </c>
      <c r="N14" s="279">
        <f t="shared" si="4"/>
        <v>43.140192081201356</v>
      </c>
      <c r="O14" s="279">
        <f t="shared" si="4"/>
        <v>0.2748494912555663</v>
      </c>
      <c r="P14" s="279">
        <f t="shared" si="4"/>
        <v>3.1125494067272568</v>
      </c>
      <c r="Q14" s="280">
        <f t="shared" si="4"/>
        <v>74.33048026861306</v>
      </c>
      <c r="S14" s="271"/>
      <c r="T14" s="272"/>
      <c r="U14" s="272"/>
      <c r="V14" s="271"/>
      <c r="AA14" s="160">
        <v>3.573206</v>
      </c>
      <c r="AB14" s="160">
        <f>AA14/AA19*100</f>
        <v>9.450635021991891</v>
      </c>
    </row>
    <row r="15" spans="1:28" s="270" customFormat="1" ht="24.75" customHeight="1">
      <c r="A15" s="273">
        <v>4</v>
      </c>
      <c r="B15" s="274" t="s">
        <v>165</v>
      </c>
      <c r="C15" s="275">
        <v>40.745862</v>
      </c>
      <c r="D15" s="276">
        <v>1.137781</v>
      </c>
      <c r="E15" s="276">
        <v>12.687637</v>
      </c>
      <c r="F15" s="276">
        <f t="shared" si="0"/>
        <v>13.825418</v>
      </c>
      <c r="G15" s="277">
        <f t="shared" si="1"/>
        <v>54.57128</v>
      </c>
      <c r="H15" s="275">
        <v>35.416958</v>
      </c>
      <c r="I15" s="276">
        <v>0.515919</v>
      </c>
      <c r="J15" s="276">
        <v>2.256288</v>
      </c>
      <c r="K15" s="276">
        <f t="shared" si="3"/>
        <v>2.772207</v>
      </c>
      <c r="L15" s="277">
        <f t="shared" si="2"/>
        <v>38.189165</v>
      </c>
      <c r="M15" s="278">
        <f t="shared" si="4"/>
        <v>86.92160691066003</v>
      </c>
      <c r="N15" s="279">
        <f t="shared" si="4"/>
        <v>45.34431494285808</v>
      </c>
      <c r="O15" s="279">
        <f t="shared" si="4"/>
        <v>17.78335871368325</v>
      </c>
      <c r="P15" s="279">
        <f t="shared" si="4"/>
        <v>20.05152393945702</v>
      </c>
      <c r="Q15" s="280">
        <f t="shared" si="4"/>
        <v>69.98033581033833</v>
      </c>
      <c r="S15" s="271"/>
      <c r="T15" s="272"/>
      <c r="U15" s="272"/>
      <c r="V15" s="271"/>
      <c r="AA15" s="160">
        <v>2.756253</v>
      </c>
      <c r="AB15" s="160">
        <f>AA15/AA19*100</f>
        <v>7.2899074756032025</v>
      </c>
    </row>
    <row r="16" spans="1:28" s="270" customFormat="1" ht="24.75" customHeight="1">
      <c r="A16" s="273">
        <v>5</v>
      </c>
      <c r="B16" s="274" t="s">
        <v>166</v>
      </c>
      <c r="C16" s="275">
        <v>40.919515</v>
      </c>
      <c r="D16" s="276">
        <v>9.465588</v>
      </c>
      <c r="E16" s="276">
        <v>26.154405</v>
      </c>
      <c r="F16" s="276">
        <f t="shared" si="0"/>
        <v>35.619993</v>
      </c>
      <c r="G16" s="277">
        <f t="shared" si="1"/>
        <v>76.539508</v>
      </c>
      <c r="H16" s="275">
        <v>35.435637</v>
      </c>
      <c r="I16" s="276">
        <v>0.958792</v>
      </c>
      <c r="J16" s="276">
        <v>5.254117</v>
      </c>
      <c r="K16" s="276">
        <f t="shared" si="3"/>
        <v>6.212909</v>
      </c>
      <c r="L16" s="277">
        <f t="shared" si="2"/>
        <v>41.648545999999996</v>
      </c>
      <c r="M16" s="278">
        <f t="shared" si="4"/>
        <v>86.59837977063023</v>
      </c>
      <c r="N16" s="279">
        <f t="shared" si="4"/>
        <v>10.129238669589252</v>
      </c>
      <c r="O16" s="279">
        <f t="shared" si="4"/>
        <v>20.088841631075148</v>
      </c>
      <c r="P16" s="279">
        <f t="shared" si="4"/>
        <v>17.442196016153062</v>
      </c>
      <c r="Q16" s="280">
        <f t="shared" si="4"/>
        <v>54.41444175470791</v>
      </c>
      <c r="S16" s="271"/>
      <c r="T16" s="272"/>
      <c r="U16" s="272"/>
      <c r="V16" s="271"/>
      <c r="AA16" s="160">
        <v>1.115693</v>
      </c>
      <c r="AB16" s="160">
        <f>AA16/AA19*100</f>
        <v>2.950853474328432</v>
      </c>
    </row>
    <row r="17" spans="1:28" s="405" customFormat="1" ht="24.75" customHeight="1">
      <c r="A17" s="398">
        <v>6</v>
      </c>
      <c r="B17" s="399" t="s">
        <v>167</v>
      </c>
      <c r="C17" s="281">
        <v>41.349173</v>
      </c>
      <c r="D17" s="400">
        <v>16.007314</v>
      </c>
      <c r="E17" s="400">
        <v>41.066272</v>
      </c>
      <c r="F17" s="400">
        <f t="shared" si="0"/>
        <v>57.073586</v>
      </c>
      <c r="G17" s="401">
        <f t="shared" si="1"/>
        <v>98.422759</v>
      </c>
      <c r="H17" s="281">
        <v>35.859482</v>
      </c>
      <c r="I17" s="400">
        <v>1.628111</v>
      </c>
      <c r="J17" s="400">
        <v>9.447357</v>
      </c>
      <c r="K17" s="400">
        <f t="shared" si="3"/>
        <v>11.075468</v>
      </c>
      <c r="L17" s="401">
        <f t="shared" si="2"/>
        <v>46.93495</v>
      </c>
      <c r="M17" s="402">
        <f t="shared" si="4"/>
        <v>86.72357727686597</v>
      </c>
      <c r="N17" s="403">
        <f t="shared" si="4"/>
        <v>10.171044311369165</v>
      </c>
      <c r="O17" s="403">
        <f t="shared" si="4"/>
        <v>23.005148848183737</v>
      </c>
      <c r="P17" s="403">
        <f t="shared" si="4"/>
        <v>19.405593333490557</v>
      </c>
      <c r="Q17" s="404">
        <f t="shared" si="4"/>
        <v>47.68709034055833</v>
      </c>
      <c r="S17" s="406"/>
      <c r="T17" s="407"/>
      <c r="U17" s="407"/>
      <c r="V17" s="406"/>
      <c r="AA17" s="408">
        <v>0.929564</v>
      </c>
      <c r="AB17" s="408">
        <f>AA17/AA19*100</f>
        <v>2.4585680460580415</v>
      </c>
    </row>
    <row r="18" spans="1:28" s="270" customFormat="1" ht="24.75" customHeight="1">
      <c r="A18" s="273">
        <v>7</v>
      </c>
      <c r="B18" s="274" t="s">
        <v>168</v>
      </c>
      <c r="C18" s="275">
        <v>41.564713</v>
      </c>
      <c r="D18" s="276">
        <v>29.697012</v>
      </c>
      <c r="E18" s="276">
        <v>69.198304</v>
      </c>
      <c r="F18" s="276">
        <f t="shared" si="0"/>
        <v>98.895316</v>
      </c>
      <c r="G18" s="277">
        <f t="shared" si="1"/>
        <v>140.460029</v>
      </c>
      <c r="H18" s="275">
        <v>35.422889</v>
      </c>
      <c r="I18" s="276">
        <v>2.572525</v>
      </c>
      <c r="J18" s="276">
        <v>17.163761</v>
      </c>
      <c r="K18" s="276">
        <f t="shared" si="3"/>
        <v>19.736286</v>
      </c>
      <c r="L18" s="277">
        <f t="shared" si="2"/>
        <v>55.159175</v>
      </c>
      <c r="M18" s="278">
        <f t="shared" si="4"/>
        <v>85.22346587597032</v>
      </c>
      <c r="N18" s="279">
        <f t="shared" si="4"/>
        <v>8.662571843928271</v>
      </c>
      <c r="O18" s="279">
        <f t="shared" si="4"/>
        <v>24.803730738834297</v>
      </c>
      <c r="P18" s="279">
        <f t="shared" si="4"/>
        <v>19.956744968588808</v>
      </c>
      <c r="Q18" s="280">
        <f t="shared" si="4"/>
        <v>39.27037135952748</v>
      </c>
      <c r="S18" s="271"/>
      <c r="T18" s="272"/>
      <c r="U18" s="272"/>
      <c r="V18" s="271"/>
      <c r="AA18" s="160">
        <v>0.284617</v>
      </c>
      <c r="AB18" s="160">
        <f>AA18/AA19*100</f>
        <v>0.7527725488131013</v>
      </c>
    </row>
    <row r="19" spans="1:28" s="270" customFormat="1" ht="24.75" customHeight="1">
      <c r="A19" s="273">
        <v>8</v>
      </c>
      <c r="B19" s="274" t="s">
        <v>169</v>
      </c>
      <c r="C19" s="275">
        <v>40.773116</v>
      </c>
      <c r="D19" s="276">
        <v>44.623054</v>
      </c>
      <c r="E19" s="276">
        <v>121.43094</v>
      </c>
      <c r="F19" s="276">
        <f t="shared" si="0"/>
        <v>166.05399400000002</v>
      </c>
      <c r="G19" s="277">
        <f t="shared" si="1"/>
        <v>206.82711</v>
      </c>
      <c r="H19" s="275">
        <v>33.738604</v>
      </c>
      <c r="I19" s="276">
        <v>3.556263</v>
      </c>
      <c r="J19" s="276">
        <v>27.428658</v>
      </c>
      <c r="K19" s="276">
        <f t="shared" si="3"/>
        <v>30.984921</v>
      </c>
      <c r="L19" s="277">
        <f t="shared" si="2"/>
        <v>64.723525</v>
      </c>
      <c r="M19" s="278">
        <f t="shared" si="4"/>
        <v>82.7471807648942</v>
      </c>
      <c r="N19" s="279">
        <f t="shared" si="4"/>
        <v>7.9695643422343965</v>
      </c>
      <c r="O19" s="279">
        <f t="shared" si="4"/>
        <v>22.58786599197865</v>
      </c>
      <c r="P19" s="279">
        <f t="shared" si="4"/>
        <v>18.659545761964626</v>
      </c>
      <c r="Q19" s="280">
        <f t="shared" si="4"/>
        <v>31.29354029072881</v>
      </c>
      <c r="S19" s="271"/>
      <c r="T19" s="272"/>
      <c r="U19" s="272"/>
      <c r="V19" s="271"/>
      <c r="AA19" s="160">
        <f>SUM(AA13:AA18)</f>
        <v>37.809163</v>
      </c>
      <c r="AB19" s="160">
        <f>AA19/AA19*100</f>
        <v>100</v>
      </c>
    </row>
    <row r="20" spans="1:22" s="270" customFormat="1" ht="24.75" customHeight="1">
      <c r="A20" s="273">
        <v>9</v>
      </c>
      <c r="B20" s="274" t="s">
        <v>170</v>
      </c>
      <c r="C20" s="281">
        <v>39.415963</v>
      </c>
      <c r="D20" s="276">
        <v>68.380974</v>
      </c>
      <c r="E20" s="276">
        <v>192.355029</v>
      </c>
      <c r="F20" s="276">
        <f t="shared" si="0"/>
        <v>260.736003</v>
      </c>
      <c r="G20" s="277">
        <f t="shared" si="1"/>
        <v>300.15196599999996</v>
      </c>
      <c r="H20" s="275">
        <v>31.552296</v>
      </c>
      <c r="I20" s="276">
        <v>4.577732</v>
      </c>
      <c r="J20" s="276">
        <v>36.20904</v>
      </c>
      <c r="K20" s="276">
        <f t="shared" si="3"/>
        <v>40.786772</v>
      </c>
      <c r="L20" s="277">
        <f t="shared" si="2"/>
        <v>72.339068</v>
      </c>
      <c r="M20" s="278">
        <f t="shared" si="4"/>
        <v>80.04953729025979</v>
      </c>
      <c r="N20" s="279">
        <f t="shared" si="4"/>
        <v>6.694452758160479</v>
      </c>
      <c r="O20" s="279">
        <f t="shared" si="4"/>
        <v>18.82406724078943</v>
      </c>
      <c r="P20" s="279">
        <f t="shared" si="4"/>
        <v>15.642938271167713</v>
      </c>
      <c r="Q20" s="280">
        <f t="shared" si="4"/>
        <v>24.10081431883741</v>
      </c>
      <c r="S20" s="328">
        <f>G20-G19</f>
        <v>93.32485599999995</v>
      </c>
      <c r="T20" s="272">
        <f>L20-L19</f>
        <v>7.615543000000002</v>
      </c>
      <c r="U20" s="272"/>
      <c r="V20" s="271"/>
    </row>
    <row r="21" spans="1:22" s="270" customFormat="1" ht="24.75" customHeight="1">
      <c r="A21" s="273">
        <v>10</v>
      </c>
      <c r="B21" s="274" t="s">
        <v>171</v>
      </c>
      <c r="C21" s="275">
        <v>37.905555</v>
      </c>
      <c r="D21" s="276">
        <v>102.952086</v>
      </c>
      <c r="E21" s="276">
        <v>288.390629</v>
      </c>
      <c r="F21" s="276">
        <f t="shared" si="0"/>
        <v>391.342715</v>
      </c>
      <c r="G21" s="277">
        <f t="shared" si="1"/>
        <v>429.24827</v>
      </c>
      <c r="H21" s="275">
        <v>29.346431</v>
      </c>
      <c r="I21" s="276">
        <v>5.433038</v>
      </c>
      <c r="J21" s="276">
        <v>46.711196</v>
      </c>
      <c r="K21" s="276">
        <f t="shared" si="3"/>
        <v>52.144234</v>
      </c>
      <c r="L21" s="277">
        <f t="shared" si="2"/>
        <v>81.49066499999999</v>
      </c>
      <c r="M21" s="278">
        <f t="shared" si="4"/>
        <v>77.4198689347775</v>
      </c>
      <c r="N21" s="279">
        <f t="shared" si="4"/>
        <v>5.277249069047518</v>
      </c>
      <c r="O21" s="279">
        <f t="shared" si="4"/>
        <v>16.19719619946458</v>
      </c>
      <c r="P21" s="279">
        <f t="shared" si="4"/>
        <v>13.324442234730242</v>
      </c>
      <c r="Q21" s="280">
        <f t="shared" si="4"/>
        <v>18.98450633243088</v>
      </c>
      <c r="S21" s="328">
        <f>G21-G20</f>
        <v>129.09630400000003</v>
      </c>
      <c r="T21" s="272">
        <f>L21-L20</f>
        <v>9.151596999999995</v>
      </c>
      <c r="U21" s="272"/>
      <c r="V21" s="271"/>
    </row>
    <row r="22" spans="1:27" s="270" customFormat="1" ht="24.75" customHeight="1">
      <c r="A22" s="282">
        <v>11</v>
      </c>
      <c r="B22" s="283" t="s">
        <v>149</v>
      </c>
      <c r="C22" s="284">
        <v>36.942204999999994</v>
      </c>
      <c r="D22" s="286">
        <v>162.727327</v>
      </c>
      <c r="E22" s="285">
        <v>421.6797219999999</v>
      </c>
      <c r="F22" s="286">
        <f t="shared" si="0"/>
        <v>584.4070489999999</v>
      </c>
      <c r="G22" s="287">
        <f t="shared" si="1"/>
        <v>621.3492539999999</v>
      </c>
      <c r="H22" s="284">
        <v>27.83056</v>
      </c>
      <c r="I22" s="286">
        <v>6.144929</v>
      </c>
      <c r="J22" s="286">
        <v>63.305083</v>
      </c>
      <c r="K22" s="286">
        <f t="shared" si="3"/>
        <v>69.450012</v>
      </c>
      <c r="L22" s="287">
        <f t="shared" si="2"/>
        <v>97.280572</v>
      </c>
      <c r="M22" s="288">
        <f t="shared" si="4"/>
        <v>75.33540566947751</v>
      </c>
      <c r="N22" s="289">
        <f t="shared" si="4"/>
        <v>3.7762120925147378</v>
      </c>
      <c r="O22" s="289">
        <f t="shared" si="4"/>
        <v>15.012598353022064</v>
      </c>
      <c r="P22" s="289">
        <f t="shared" si="4"/>
        <v>11.88384228404473</v>
      </c>
      <c r="Q22" s="290">
        <f t="shared" si="4"/>
        <v>15.656343252003008</v>
      </c>
      <c r="S22" s="328">
        <f>G22-G21</f>
        <v>192.10098399999987</v>
      </c>
      <c r="T22" s="272">
        <f>L22-L21</f>
        <v>15.789907000000014</v>
      </c>
      <c r="U22" s="272"/>
      <c r="V22" s="271"/>
      <c r="AA22" s="270">
        <v>162044</v>
      </c>
    </row>
    <row r="23" spans="1:22" s="270" customFormat="1" ht="24.75" customHeight="1">
      <c r="A23" s="282">
        <v>12</v>
      </c>
      <c r="B23" s="283" t="s">
        <v>178</v>
      </c>
      <c r="C23" s="284">
        <v>34.724279</v>
      </c>
      <c r="D23" s="286">
        <v>225.920431</v>
      </c>
      <c r="E23" s="285">
        <v>585.6803009999999</v>
      </c>
      <c r="F23" s="286">
        <f t="shared" si="0"/>
        <v>811.6007319999999</v>
      </c>
      <c r="G23" s="287">
        <f t="shared" si="1"/>
        <v>846.3250109999999</v>
      </c>
      <c r="H23" s="284">
        <v>25.224905</v>
      </c>
      <c r="I23" s="286">
        <v>5.565437</v>
      </c>
      <c r="J23" s="286">
        <v>86.268689</v>
      </c>
      <c r="K23" s="286">
        <f>SUM(I23:J23)</f>
        <v>91.834126</v>
      </c>
      <c r="L23" s="287">
        <f>H23+K23</f>
        <v>117.059031</v>
      </c>
      <c r="M23" s="288">
        <f aca="true" t="shared" si="5" ref="M23:Q25">H23/C23*100</f>
        <v>72.64342335228903</v>
      </c>
      <c r="N23" s="289">
        <f t="shared" si="5"/>
        <v>2.463450063088805</v>
      </c>
      <c r="O23" s="289">
        <f t="shared" si="5"/>
        <v>14.72965521508978</v>
      </c>
      <c r="P23" s="289">
        <f t="shared" si="5"/>
        <v>11.315185211045375</v>
      </c>
      <c r="Q23" s="290">
        <f t="shared" si="5"/>
        <v>13.83145121301396</v>
      </c>
      <c r="S23" s="328">
        <f>G23-G22</f>
        <v>224.97575700000004</v>
      </c>
      <c r="T23" s="272">
        <f>L23-L22</f>
        <v>19.778458999999998</v>
      </c>
      <c r="U23" s="272"/>
      <c r="V23" s="271">
        <f>T23-T20</f>
        <v>12.162915999999996</v>
      </c>
    </row>
    <row r="24" spans="1:22" s="270" customFormat="1" ht="24.75" customHeight="1">
      <c r="A24" s="282">
        <v>13</v>
      </c>
      <c r="B24" s="283" t="s">
        <v>184</v>
      </c>
      <c r="C24" s="284">
        <v>32.15114</v>
      </c>
      <c r="D24" s="286">
        <v>224.340209</v>
      </c>
      <c r="E24" s="285">
        <v>695.756599</v>
      </c>
      <c r="F24" s="286">
        <f t="shared" si="0"/>
        <v>920.096808</v>
      </c>
      <c r="G24" s="287">
        <f t="shared" si="1"/>
        <v>952.247948</v>
      </c>
      <c r="H24" s="284">
        <v>22.467732</v>
      </c>
      <c r="I24" s="286">
        <v>4.003914</v>
      </c>
      <c r="J24" s="286">
        <v>94.509074</v>
      </c>
      <c r="K24" s="286">
        <f>SUM(I24:J24)</f>
        <v>98.51298799999999</v>
      </c>
      <c r="L24" s="287">
        <f>H24+K24</f>
        <v>120.98071999999999</v>
      </c>
      <c r="M24" s="288">
        <f>H24/C24*100</f>
        <v>69.88160295404768</v>
      </c>
      <c r="N24" s="289">
        <f>I24/D24*100</f>
        <v>1.7847509449364918</v>
      </c>
      <c r="O24" s="289">
        <f>J24/E24*100</f>
        <v>13.583640332817021</v>
      </c>
      <c r="P24" s="289">
        <f>K24/F24*100</f>
        <v>10.706806842872995</v>
      </c>
      <c r="Q24" s="290">
        <f>L24/G24*100</f>
        <v>12.70474987676214</v>
      </c>
      <c r="S24" s="328"/>
      <c r="T24" s="272"/>
      <c r="U24" s="272"/>
      <c r="V24" s="271"/>
    </row>
    <row r="25" spans="1:22" s="270" customFormat="1" ht="24.75" customHeight="1" thickBot="1">
      <c r="A25" s="265">
        <v>14</v>
      </c>
      <c r="B25" s="293" t="s">
        <v>194</v>
      </c>
      <c r="C25" s="292">
        <f>'Anne-2'!C22</f>
        <v>30.207668</v>
      </c>
      <c r="D25" s="294">
        <f>'Anne-2'!D22</f>
        <v>170.894202</v>
      </c>
      <c r="E25" s="294">
        <f>'Anne-2'!E22</f>
        <v>696.8919029999998</v>
      </c>
      <c r="F25" s="291">
        <f t="shared" si="0"/>
        <v>867.7861049999999</v>
      </c>
      <c r="G25" s="267">
        <f t="shared" si="1"/>
        <v>897.9937729999999</v>
      </c>
      <c r="H25" s="292">
        <f>'Anne-2'!C9</f>
        <v>20.446062</v>
      </c>
      <c r="I25" s="294">
        <f>'Anne-2'!D9</f>
        <v>2.701813</v>
      </c>
      <c r="J25" s="294">
        <f>'Anne-2'!E9</f>
        <v>98.504812</v>
      </c>
      <c r="K25" s="291">
        <f t="shared" si="3"/>
        <v>101.206625</v>
      </c>
      <c r="L25" s="267">
        <f t="shared" si="2"/>
        <v>121.652687</v>
      </c>
      <c r="M25" s="292">
        <f t="shared" si="5"/>
        <v>67.68500633680164</v>
      </c>
      <c r="N25" s="268">
        <f t="shared" si="5"/>
        <v>1.580985761003173</v>
      </c>
      <c r="O25" s="268">
        <f t="shared" si="5"/>
        <v>14.134876811734177</v>
      </c>
      <c r="P25" s="268">
        <f t="shared" si="5"/>
        <v>11.662623360395937</v>
      </c>
      <c r="Q25" s="269">
        <f t="shared" si="5"/>
        <v>13.547163761902837</v>
      </c>
      <c r="S25" s="328">
        <f>G25-G23</f>
        <v>51.668762000000015</v>
      </c>
      <c r="T25" s="272">
        <f>L25-L23</f>
        <v>4.593655999999996</v>
      </c>
      <c r="V25" s="270">
        <f>V23/4</f>
        <v>3.040728999999999</v>
      </c>
    </row>
    <row r="26" ht="15">
      <c r="D26" s="74"/>
    </row>
    <row r="29" spans="6:11" ht="15">
      <c r="F29" s="161">
        <f>(F25-F22)/F22*100</f>
        <v>48.490013336577675</v>
      </c>
      <c r="K29" s="26">
        <f>(K25-K22)/K22*100</f>
        <v>45.72585675003195</v>
      </c>
    </row>
    <row r="34" spans="8:9" ht="15">
      <c r="H34" s="578"/>
      <c r="I34" s="578"/>
    </row>
    <row r="35" spans="8:9" ht="15">
      <c r="H35" s="578"/>
      <c r="I35" s="578"/>
    </row>
    <row r="36" spans="8:9" ht="15">
      <c r="H36" s="578"/>
      <c r="I36" s="578"/>
    </row>
    <row r="37" spans="8:9" ht="15">
      <c r="H37" s="578"/>
      <c r="I37" s="578"/>
    </row>
    <row r="42" ht="15">
      <c r="H42" s="331"/>
    </row>
  </sheetData>
  <sheetProtection/>
  <mergeCells count="38"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E6:F7"/>
    <mergeCell ref="G6:G7"/>
    <mergeCell ref="H6:I7"/>
    <mergeCell ref="C6:D7"/>
    <mergeCell ref="C8:D8"/>
    <mergeCell ref="E8:F8"/>
    <mergeCell ref="H8:I8"/>
    <mergeCell ref="J8:K8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H36:I36"/>
    <mergeCell ref="H37:I37"/>
    <mergeCell ref="M8:N8"/>
    <mergeCell ref="O8:P8"/>
    <mergeCell ref="I11:K11"/>
    <mergeCell ref="L11:L12"/>
    <mergeCell ref="H34:I34"/>
    <mergeCell ref="H35:I35"/>
    <mergeCell ref="M11:M12"/>
    <mergeCell ref="N11:P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" sqref="M14"/>
    </sheetView>
  </sheetViews>
  <sheetFormatPr defaultColWidth="9.140625" defaultRowHeight="12.75"/>
  <cols>
    <col min="1" max="1" width="9.140625" style="299" customWidth="1"/>
    <col min="2" max="6" width="9.421875" style="299" customWidth="1"/>
    <col min="7" max="9" width="10.140625" style="299" customWidth="1"/>
    <col min="10" max="10" width="10.57421875" style="299" customWidth="1"/>
    <col min="11" max="11" width="10.140625" style="299" customWidth="1"/>
    <col min="12" max="15" width="9.421875" style="299" customWidth="1"/>
    <col min="16" max="16" width="10.00390625" style="299" customWidth="1"/>
    <col min="17" max="17" width="9.140625" style="299" customWidth="1"/>
    <col min="18" max="18" width="22.8515625" style="299" customWidth="1"/>
    <col min="19" max="16384" width="9.140625" style="299" customWidth="1"/>
  </cols>
  <sheetData>
    <row r="1" spans="1:15" ht="15.75">
      <c r="A1" s="298" t="s">
        <v>250</v>
      </c>
      <c r="O1" s="298" t="s">
        <v>177</v>
      </c>
    </row>
    <row r="2" ht="15.75" thickBot="1"/>
    <row r="3" spans="1:16" ht="15">
      <c r="A3" s="586" t="s">
        <v>173</v>
      </c>
      <c r="B3" s="589" t="s">
        <v>174</v>
      </c>
      <c r="C3" s="590"/>
      <c r="D3" s="590"/>
      <c r="E3" s="590"/>
      <c r="F3" s="591"/>
      <c r="G3" s="589" t="s">
        <v>175</v>
      </c>
      <c r="H3" s="590"/>
      <c r="I3" s="590"/>
      <c r="J3" s="590"/>
      <c r="K3" s="591"/>
      <c r="L3" s="589" t="s">
        <v>120</v>
      </c>
      <c r="M3" s="590"/>
      <c r="N3" s="590"/>
      <c r="O3" s="590"/>
      <c r="P3" s="591"/>
    </row>
    <row r="4" spans="1:16" ht="15">
      <c r="A4" s="587"/>
      <c r="B4" s="592" t="s">
        <v>176</v>
      </c>
      <c r="C4" s="594" t="s">
        <v>139</v>
      </c>
      <c r="D4" s="594"/>
      <c r="E4" s="594"/>
      <c r="F4" s="595" t="s">
        <v>70</v>
      </c>
      <c r="G4" s="592" t="s">
        <v>176</v>
      </c>
      <c r="H4" s="594" t="s">
        <v>139</v>
      </c>
      <c r="I4" s="594"/>
      <c r="J4" s="594"/>
      <c r="K4" s="595" t="s">
        <v>70</v>
      </c>
      <c r="L4" s="592" t="s">
        <v>176</v>
      </c>
      <c r="M4" s="594" t="s">
        <v>139</v>
      </c>
      <c r="N4" s="594"/>
      <c r="O4" s="594"/>
      <c r="P4" s="595" t="s">
        <v>70</v>
      </c>
    </row>
    <row r="5" spans="1:16" ht="15.75" thickBot="1">
      <c r="A5" s="588"/>
      <c r="B5" s="593"/>
      <c r="C5" s="300" t="s">
        <v>138</v>
      </c>
      <c r="D5" s="300" t="s">
        <v>131</v>
      </c>
      <c r="E5" s="300" t="s">
        <v>47</v>
      </c>
      <c r="F5" s="596"/>
      <c r="G5" s="593"/>
      <c r="H5" s="300" t="s">
        <v>138</v>
      </c>
      <c r="I5" s="300" t="s">
        <v>131</v>
      </c>
      <c r="J5" s="300" t="s">
        <v>47</v>
      </c>
      <c r="K5" s="596"/>
      <c r="L5" s="593"/>
      <c r="M5" s="300" t="s">
        <v>138</v>
      </c>
      <c r="N5" s="300" t="s">
        <v>131</v>
      </c>
      <c r="O5" s="300" t="s">
        <v>47</v>
      </c>
      <c r="P5" s="596"/>
    </row>
    <row r="6" spans="1:18" ht="15.75" customHeight="1">
      <c r="A6" s="333">
        <v>40634</v>
      </c>
      <c r="B6" s="301">
        <v>-1.97656</v>
      </c>
      <c r="C6" s="302">
        <v>2.94261</v>
      </c>
      <c r="D6" s="302">
        <v>-1.2104</v>
      </c>
      <c r="E6" s="302">
        <f aca="true" t="shared" si="0" ref="E6:E15">SUM(C6:D6)</f>
        <v>1.7322100000000002</v>
      </c>
      <c r="F6" s="303">
        <f aca="true" t="shared" si="1" ref="F6:F15">E6+B6</f>
        <v>-0.24434999999999985</v>
      </c>
      <c r="G6" s="301">
        <v>-1.66443</v>
      </c>
      <c r="H6" s="302">
        <v>107.11331</v>
      </c>
      <c r="I6" s="302">
        <v>46.42013</v>
      </c>
      <c r="J6" s="302">
        <f aca="true" t="shared" si="2" ref="J6:J15">SUM(H6:I6)</f>
        <v>153.53343999999998</v>
      </c>
      <c r="K6" s="303">
        <f aca="true" t="shared" si="3" ref="K6:K15">J6+G6</f>
        <v>151.86900999999997</v>
      </c>
      <c r="L6" s="430"/>
      <c r="M6" s="304">
        <f aca="true" t="shared" si="4" ref="M6:P10">C6/H6*100</f>
        <v>2.747193602737139</v>
      </c>
      <c r="N6" s="304">
        <f t="shared" si="4"/>
        <v>-2.607489466315583</v>
      </c>
      <c r="O6" s="304">
        <f t="shared" si="4"/>
        <v>1.1282297849901626</v>
      </c>
      <c r="P6" s="305">
        <f t="shared" si="4"/>
        <v>-0.16089523464991304</v>
      </c>
      <c r="R6" s="299">
        <f>H6*100000</f>
        <v>10711331</v>
      </c>
    </row>
    <row r="7" spans="1:16" ht="15.75" customHeight="1">
      <c r="A7" s="334">
        <v>40664</v>
      </c>
      <c r="B7" s="306">
        <v>-1.64954</v>
      </c>
      <c r="C7" s="307">
        <v>8.98037</v>
      </c>
      <c r="D7" s="307">
        <v>-0.74986</v>
      </c>
      <c r="E7" s="307">
        <f t="shared" si="0"/>
        <v>8.23051</v>
      </c>
      <c r="F7" s="308">
        <f t="shared" si="1"/>
        <v>6.580970000000001</v>
      </c>
      <c r="G7" s="306">
        <v>-1.42817</v>
      </c>
      <c r="H7" s="307">
        <v>108.74655</v>
      </c>
      <c r="I7" s="307">
        <v>24.69854</v>
      </c>
      <c r="J7" s="307">
        <f t="shared" si="2"/>
        <v>133.44509</v>
      </c>
      <c r="K7" s="308">
        <f t="shared" si="3"/>
        <v>132.01692</v>
      </c>
      <c r="L7" s="431"/>
      <c r="M7" s="309">
        <f t="shared" si="4"/>
        <v>8.258073474514823</v>
      </c>
      <c r="N7" s="309">
        <f t="shared" si="4"/>
        <v>-3.036049904164375</v>
      </c>
      <c r="O7" s="309">
        <f t="shared" si="4"/>
        <v>6.167712877259104</v>
      </c>
      <c r="P7" s="310">
        <f t="shared" si="4"/>
        <v>4.98494435410249</v>
      </c>
    </row>
    <row r="8" spans="1:16" ht="15.75" customHeight="1">
      <c r="A8" s="334">
        <v>40695</v>
      </c>
      <c r="B8" s="306">
        <v>-1.37488</v>
      </c>
      <c r="C8" s="307">
        <v>9.68263</v>
      </c>
      <c r="D8" s="307">
        <v>-0.70836</v>
      </c>
      <c r="E8" s="307">
        <f t="shared" si="0"/>
        <v>8.974269999999999</v>
      </c>
      <c r="F8" s="308">
        <f t="shared" si="1"/>
        <v>7.599389999999999</v>
      </c>
      <c r="G8" s="306">
        <v>-1.19616</v>
      </c>
      <c r="H8" s="307">
        <v>97.17405</v>
      </c>
      <c r="I8" s="307">
        <v>16.92081</v>
      </c>
      <c r="J8" s="307">
        <f t="shared" si="2"/>
        <v>114.09486</v>
      </c>
      <c r="K8" s="308">
        <f t="shared" si="3"/>
        <v>112.89869999999999</v>
      </c>
      <c r="L8" s="431"/>
      <c r="M8" s="309">
        <f t="shared" si="4"/>
        <v>9.964213696969509</v>
      </c>
      <c r="N8" s="309">
        <f t="shared" si="4"/>
        <v>-4.186324413547578</v>
      </c>
      <c r="O8" s="309">
        <f t="shared" si="4"/>
        <v>7.8656216415007645</v>
      </c>
      <c r="P8" s="310">
        <f t="shared" si="4"/>
        <v>6.7311581089950545</v>
      </c>
    </row>
    <row r="9" spans="1:16" ht="15.75" customHeight="1">
      <c r="A9" s="334">
        <v>40725</v>
      </c>
      <c r="B9" s="306">
        <v>-1.40813</v>
      </c>
      <c r="C9" s="307">
        <v>16.63965</v>
      </c>
      <c r="D9" s="307">
        <v>-2.42414</v>
      </c>
      <c r="E9" s="307">
        <f t="shared" si="0"/>
        <v>14.21551</v>
      </c>
      <c r="F9" s="308">
        <f t="shared" si="1"/>
        <v>12.80738</v>
      </c>
      <c r="G9" s="306">
        <v>-1.17039</v>
      </c>
      <c r="H9" s="307">
        <v>86.44084</v>
      </c>
      <c r="I9" s="307">
        <v>-19.71096</v>
      </c>
      <c r="J9" s="307">
        <f t="shared" si="2"/>
        <v>66.72988</v>
      </c>
      <c r="K9" s="308">
        <f t="shared" si="3"/>
        <v>65.55949</v>
      </c>
      <c r="L9" s="431"/>
      <c r="M9" s="309">
        <f t="shared" si="4"/>
        <v>19.249755092615946</v>
      </c>
      <c r="N9" s="309">
        <f t="shared" si="4"/>
        <v>12.298437011692986</v>
      </c>
      <c r="O9" s="309">
        <f t="shared" si="4"/>
        <v>21.303065433356096</v>
      </c>
      <c r="P9" s="310">
        <f t="shared" si="4"/>
        <v>19.535508894288228</v>
      </c>
    </row>
    <row r="10" spans="1:16" ht="15.75" customHeight="1">
      <c r="A10" s="334">
        <v>40756</v>
      </c>
      <c r="B10" s="306">
        <v>-1.30176</v>
      </c>
      <c r="C10" s="307">
        <v>3.68143</v>
      </c>
      <c r="D10" s="307">
        <v>-1.0644</v>
      </c>
      <c r="E10" s="307">
        <f t="shared" si="0"/>
        <v>2.61703</v>
      </c>
      <c r="F10" s="308">
        <f t="shared" si="1"/>
        <v>1.3152700000000002</v>
      </c>
      <c r="G10" s="306">
        <v>-1.12752</v>
      </c>
      <c r="H10" s="307">
        <v>53.1877</v>
      </c>
      <c r="I10" s="307">
        <v>20.20849</v>
      </c>
      <c r="J10" s="307">
        <f t="shared" si="2"/>
        <v>73.39619</v>
      </c>
      <c r="K10" s="308">
        <f t="shared" si="3"/>
        <v>72.26867</v>
      </c>
      <c r="L10" s="431"/>
      <c r="M10" s="309">
        <f t="shared" si="4"/>
        <v>6.921581493465595</v>
      </c>
      <c r="N10" s="309">
        <f t="shared" si="4"/>
        <v>-5.267093187071374</v>
      </c>
      <c r="O10" s="309">
        <f t="shared" si="4"/>
        <v>3.565621049266999</v>
      </c>
      <c r="P10" s="310">
        <f t="shared" si="4"/>
        <v>1.8199726105378722</v>
      </c>
    </row>
    <row r="11" spans="1:16" ht="15.75" customHeight="1">
      <c r="A11" s="334">
        <v>40787</v>
      </c>
      <c r="B11" s="317">
        <v>-7.76006</v>
      </c>
      <c r="C11" s="318">
        <v>4.49414</v>
      </c>
      <c r="D11" s="318">
        <v>-0.65951</v>
      </c>
      <c r="E11" s="307">
        <f>SUM(C11:D11)</f>
        <v>3.8346299999999998</v>
      </c>
      <c r="F11" s="308">
        <f>E11+B11</f>
        <v>-3.9254300000000004</v>
      </c>
      <c r="G11" s="317">
        <v>-7.52167</v>
      </c>
      <c r="H11" s="318">
        <v>77.57308</v>
      </c>
      <c r="I11" s="318">
        <v>1.46836</v>
      </c>
      <c r="J11" s="307">
        <f>SUM(H11:I11)</f>
        <v>79.04144000000001</v>
      </c>
      <c r="K11" s="308">
        <f>J11+G11</f>
        <v>71.51977000000001</v>
      </c>
      <c r="L11" s="431"/>
      <c r="M11" s="309">
        <f aca="true" t="shared" si="5" ref="M11:P15">C11/H11*100</f>
        <v>5.79342730751441</v>
      </c>
      <c r="N11" s="309">
        <f t="shared" si="5"/>
        <v>-44.914734806178316</v>
      </c>
      <c r="O11" s="309">
        <f t="shared" si="5"/>
        <v>4.851417180658651</v>
      </c>
      <c r="P11" s="310">
        <f t="shared" si="5"/>
        <v>-5.488594272604623</v>
      </c>
    </row>
    <row r="12" spans="1:16" ht="15.75" customHeight="1">
      <c r="A12" s="334">
        <v>40817</v>
      </c>
      <c r="B12" s="317">
        <v>-1.34409</v>
      </c>
      <c r="C12" s="318">
        <v>6.37972</v>
      </c>
      <c r="D12" s="318">
        <v>-2.3709</v>
      </c>
      <c r="E12" s="307">
        <f t="shared" si="0"/>
        <v>4.00882</v>
      </c>
      <c r="F12" s="308">
        <f t="shared" si="1"/>
        <v>2.66473</v>
      </c>
      <c r="G12" s="317">
        <v>-1.24801</v>
      </c>
      <c r="H12" s="318">
        <v>77.42627</v>
      </c>
      <c r="I12" s="318">
        <v>0.48203</v>
      </c>
      <c r="J12" s="307">
        <f t="shared" si="2"/>
        <v>77.9083</v>
      </c>
      <c r="K12" s="308">
        <f t="shared" si="3"/>
        <v>76.66029</v>
      </c>
      <c r="L12" s="431"/>
      <c r="M12" s="309">
        <f t="shared" si="5"/>
        <v>8.239735686608691</v>
      </c>
      <c r="N12" s="309">
        <f t="shared" si="5"/>
        <v>-491.85735327676696</v>
      </c>
      <c r="O12" s="309">
        <f t="shared" si="5"/>
        <v>5.145562154481615</v>
      </c>
      <c r="P12" s="310">
        <f t="shared" si="5"/>
        <v>3.4760238971180515</v>
      </c>
    </row>
    <row r="13" spans="1:16" ht="15.75" customHeight="1">
      <c r="A13" s="334">
        <v>40848</v>
      </c>
      <c r="B13" s="317">
        <v>-2.3492</v>
      </c>
      <c r="C13" s="321">
        <v>4.23289</v>
      </c>
      <c r="D13" s="321">
        <v>-1.67375</v>
      </c>
      <c r="E13" s="307">
        <f t="shared" si="0"/>
        <v>2.55914</v>
      </c>
      <c r="F13" s="308">
        <f t="shared" si="1"/>
        <v>0.20994000000000002</v>
      </c>
      <c r="G13" s="317">
        <v>-2.29727</v>
      </c>
      <c r="H13" s="321">
        <v>65.42741</v>
      </c>
      <c r="I13" s="321">
        <v>-31.3511</v>
      </c>
      <c r="J13" s="307">
        <f t="shared" si="2"/>
        <v>34.07630999999999</v>
      </c>
      <c r="K13" s="308">
        <f t="shared" si="3"/>
        <v>31.77903999999999</v>
      </c>
      <c r="L13" s="431"/>
      <c r="M13" s="309">
        <f t="shared" si="5"/>
        <v>6.469597375167381</v>
      </c>
      <c r="N13" s="309">
        <f t="shared" si="5"/>
        <v>5.338728146699797</v>
      </c>
      <c r="O13" s="309">
        <f t="shared" si="5"/>
        <v>7.510026760526597</v>
      </c>
      <c r="P13" s="310">
        <f t="shared" si="5"/>
        <v>0.6606241094759315</v>
      </c>
    </row>
    <row r="14" spans="1:16" ht="15.75" customHeight="1">
      <c r="A14" s="334">
        <v>40878</v>
      </c>
      <c r="B14" s="317">
        <v>-3.04709</v>
      </c>
      <c r="C14" s="321">
        <v>4.55472</v>
      </c>
      <c r="D14" s="321">
        <v>-1.45005</v>
      </c>
      <c r="E14" s="307">
        <f t="shared" si="0"/>
        <v>3.1046699999999996</v>
      </c>
      <c r="F14" s="308">
        <f t="shared" si="1"/>
        <v>0.05757999999999974</v>
      </c>
      <c r="G14" s="317">
        <v>-2.76877</v>
      </c>
      <c r="H14" s="321">
        <v>79.98391</v>
      </c>
      <c r="I14" s="321">
        <v>10.43437</v>
      </c>
      <c r="J14" s="307">
        <f t="shared" si="2"/>
        <v>90.41828</v>
      </c>
      <c r="K14" s="308">
        <f t="shared" si="3"/>
        <v>87.64950999999999</v>
      </c>
      <c r="L14" s="431"/>
      <c r="M14" s="309">
        <f t="shared" si="5"/>
        <v>5.694545315426565</v>
      </c>
      <c r="N14" s="309">
        <f t="shared" si="5"/>
        <v>-13.89686200508512</v>
      </c>
      <c r="O14" s="309">
        <f t="shared" si="5"/>
        <v>3.433675137372664</v>
      </c>
      <c r="P14" s="310">
        <f t="shared" si="5"/>
        <v>0.0656934648008868</v>
      </c>
    </row>
    <row r="15" spans="1:16" ht="15.75" customHeight="1">
      <c r="A15" s="334">
        <v>40909</v>
      </c>
      <c r="B15" s="317">
        <v>-2.5079</v>
      </c>
      <c r="C15" s="321">
        <v>8.61644</v>
      </c>
      <c r="D15" s="321">
        <v>0.13112</v>
      </c>
      <c r="E15" s="321">
        <f t="shared" si="0"/>
        <v>8.74756</v>
      </c>
      <c r="F15" s="322">
        <f t="shared" si="1"/>
        <v>6.239660000000001</v>
      </c>
      <c r="G15" s="317">
        <v>-2.92349</v>
      </c>
      <c r="H15" s="321">
        <v>89.177</v>
      </c>
      <c r="I15" s="321">
        <v>9.56287</v>
      </c>
      <c r="J15" s="321">
        <f t="shared" si="2"/>
        <v>98.73987000000001</v>
      </c>
      <c r="K15" s="322">
        <f t="shared" si="3"/>
        <v>95.81638000000001</v>
      </c>
      <c r="L15" s="432"/>
      <c r="M15" s="323">
        <f t="shared" si="5"/>
        <v>9.662177467284165</v>
      </c>
      <c r="N15" s="323">
        <f t="shared" si="5"/>
        <v>1.3711364893593658</v>
      </c>
      <c r="O15" s="323">
        <f t="shared" si="5"/>
        <v>8.859197404250176</v>
      </c>
      <c r="P15" s="324">
        <f t="shared" si="5"/>
        <v>6.5121015843011385</v>
      </c>
    </row>
    <row r="16" spans="1:16" ht="15.75" customHeight="1">
      <c r="A16" s="334">
        <v>40940</v>
      </c>
      <c r="B16" s="317">
        <v>-1.01804</v>
      </c>
      <c r="C16" s="321">
        <v>3.58288</v>
      </c>
      <c r="D16" s="321">
        <v>-2.43655</v>
      </c>
      <c r="E16" s="321">
        <f>SUM(C16:D16)</f>
        <v>1.1463299999999998</v>
      </c>
      <c r="F16" s="322">
        <f>E16+B16</f>
        <v>0.1282899999999998</v>
      </c>
      <c r="G16" s="317">
        <v>-0.80931</v>
      </c>
      <c r="H16" s="321">
        <v>91.36996</v>
      </c>
      <c r="I16" s="321">
        <v>-7.85677</v>
      </c>
      <c r="J16" s="321">
        <f>SUM(H16:I16)</f>
        <v>83.51319000000001</v>
      </c>
      <c r="K16" s="322">
        <f>J16+G16</f>
        <v>82.70388000000001</v>
      </c>
      <c r="L16" s="432"/>
      <c r="M16" s="323">
        <f aca="true" t="shared" si="6" ref="M16:P17">C16/H16*100</f>
        <v>3.9212887911957055</v>
      </c>
      <c r="N16" s="323">
        <f t="shared" si="6"/>
        <v>31.012108029126473</v>
      </c>
      <c r="O16" s="323">
        <f t="shared" si="6"/>
        <v>1.3726334726286946</v>
      </c>
      <c r="P16" s="324">
        <f t="shared" si="6"/>
        <v>0.15511968725046488</v>
      </c>
    </row>
    <row r="17" spans="1:16" ht="15.75" customHeight="1">
      <c r="A17" s="334">
        <v>40969</v>
      </c>
      <c r="B17" s="317">
        <v>-1.83448</v>
      </c>
      <c r="C17" s="321">
        <v>8.61637</v>
      </c>
      <c r="D17" s="321">
        <v>-0.99843</v>
      </c>
      <c r="E17" s="321">
        <f>SUM(C17:D17)</f>
        <v>7.61794</v>
      </c>
      <c r="F17" s="322">
        <f>E17+B17</f>
        <v>5.78346</v>
      </c>
      <c r="G17" s="317">
        <v>-1.5762</v>
      </c>
      <c r="H17" s="321">
        <v>72.64889</v>
      </c>
      <c r="I17" s="321">
        <v>7.41502</v>
      </c>
      <c r="J17" s="321">
        <f>SUM(H17:I17)</f>
        <v>80.06390999999999</v>
      </c>
      <c r="K17" s="322">
        <f>J17+G17</f>
        <v>78.48770999999999</v>
      </c>
      <c r="L17" s="432"/>
      <c r="M17" s="323">
        <f t="shared" si="6"/>
        <v>11.860291327231566</v>
      </c>
      <c r="N17" s="323">
        <f t="shared" si="6"/>
        <v>-13.464967053359263</v>
      </c>
      <c r="O17" s="323">
        <f t="shared" si="6"/>
        <v>9.514823845100747</v>
      </c>
      <c r="P17" s="324">
        <f t="shared" si="6"/>
        <v>7.368618602836037</v>
      </c>
    </row>
    <row r="18" spans="1:16" s="298" customFormat="1" ht="15.75" customHeight="1" thickBot="1">
      <c r="A18" s="335" t="s">
        <v>47</v>
      </c>
      <c r="B18" s="311">
        <f>SUM(B6:B17)</f>
        <v>-27.57173</v>
      </c>
      <c r="C18" s="312">
        <f aca="true" t="shared" si="7" ref="C18:K18">SUM(C6:C17)</f>
        <v>82.40385</v>
      </c>
      <c r="D18" s="312">
        <f t="shared" si="7"/>
        <v>-15.615230000000002</v>
      </c>
      <c r="E18" s="312">
        <f t="shared" si="7"/>
        <v>66.78862</v>
      </c>
      <c r="F18" s="313">
        <f t="shared" si="7"/>
        <v>39.21688999999999</v>
      </c>
      <c r="G18" s="311">
        <f t="shared" si="7"/>
        <v>-25.73139</v>
      </c>
      <c r="H18" s="312">
        <f t="shared" si="7"/>
        <v>1006.2689700000001</v>
      </c>
      <c r="I18" s="312">
        <f t="shared" si="7"/>
        <v>78.69179000000001</v>
      </c>
      <c r="J18" s="312">
        <f t="shared" si="7"/>
        <v>1084.96076</v>
      </c>
      <c r="K18" s="313">
        <f t="shared" si="7"/>
        <v>1059.22937</v>
      </c>
      <c r="L18" s="433"/>
      <c r="M18" s="314">
        <f>C18/H18*100</f>
        <v>8.189048103113027</v>
      </c>
      <c r="N18" s="314">
        <f>D18/I18*100</f>
        <v>-19.84353132645731</v>
      </c>
      <c r="O18" s="314">
        <f>E18/J18*100</f>
        <v>6.155855811780695</v>
      </c>
      <c r="P18" s="315">
        <f>F18/K18*100</f>
        <v>3.702398282253068</v>
      </c>
    </row>
    <row r="19" spans="1:16" s="298" customFormat="1" ht="15.75" customHeight="1">
      <c r="A19" s="333">
        <v>41000</v>
      </c>
      <c r="B19" s="317">
        <v>-2.84062</v>
      </c>
      <c r="C19" s="318">
        <v>-3.58766</v>
      </c>
      <c r="D19" s="318">
        <v>-3.59284</v>
      </c>
      <c r="E19" s="318">
        <f aca="true" t="shared" si="8" ref="E19:E30">SUM(C19:D19)</f>
        <v>-7.1805</v>
      </c>
      <c r="F19" s="378">
        <f aca="true" t="shared" si="9" ref="F19:F30">E19+B19</f>
        <v>-10.02112</v>
      </c>
      <c r="G19" s="317">
        <v>-2.75705</v>
      </c>
      <c r="H19" s="318">
        <v>62.10981</v>
      </c>
      <c r="I19" s="318">
        <v>-1.55431</v>
      </c>
      <c r="J19" s="318">
        <f aca="true" t="shared" si="10" ref="J19:J30">SUM(H19:I19)</f>
        <v>60.5555</v>
      </c>
      <c r="K19" s="378">
        <f aca="true" t="shared" si="11" ref="K19:K30">J19+G19</f>
        <v>57.79845</v>
      </c>
      <c r="L19" s="432"/>
      <c r="M19" s="434"/>
      <c r="N19" s="434"/>
      <c r="O19" s="434"/>
      <c r="P19" s="435"/>
    </row>
    <row r="20" spans="1:16" s="298" customFormat="1" ht="15.75" customHeight="1">
      <c r="A20" s="334">
        <v>41030</v>
      </c>
      <c r="B20" s="317">
        <v>-3.64006</v>
      </c>
      <c r="C20" s="318">
        <v>-0.22519</v>
      </c>
      <c r="D20" s="318">
        <v>-0.5929</v>
      </c>
      <c r="E20" s="318">
        <f t="shared" si="8"/>
        <v>-0.81809</v>
      </c>
      <c r="F20" s="378">
        <f t="shared" si="9"/>
        <v>-4.45815</v>
      </c>
      <c r="G20" s="317">
        <v>-3.5875</v>
      </c>
      <c r="H20" s="318">
        <v>21.20285</v>
      </c>
      <c r="I20" s="318">
        <v>11.13474</v>
      </c>
      <c r="J20" s="318">
        <f t="shared" si="10"/>
        <v>32.337590000000006</v>
      </c>
      <c r="K20" s="378">
        <f t="shared" si="11"/>
        <v>28.750090000000007</v>
      </c>
      <c r="L20" s="432"/>
      <c r="M20" s="434"/>
      <c r="N20" s="434"/>
      <c r="O20" s="434"/>
      <c r="P20" s="435"/>
    </row>
    <row r="21" spans="1:16" s="298" customFormat="1" ht="15.75" customHeight="1">
      <c r="A21" s="334">
        <v>41061</v>
      </c>
      <c r="B21" s="317">
        <v>-1.09442</v>
      </c>
      <c r="C21" s="318">
        <v>6.5999</v>
      </c>
      <c r="D21" s="318">
        <v>-0.95842</v>
      </c>
      <c r="E21" s="318">
        <f t="shared" si="8"/>
        <v>5.64148</v>
      </c>
      <c r="F21" s="378">
        <f t="shared" si="9"/>
        <v>4.54706</v>
      </c>
      <c r="G21" s="317">
        <v>-1.17242</v>
      </c>
      <c r="H21" s="318">
        <v>64.93745</v>
      </c>
      <c r="I21" s="318">
        <v>-44.59592</v>
      </c>
      <c r="J21" s="318">
        <f t="shared" si="10"/>
        <v>20.34153</v>
      </c>
      <c r="K21" s="378">
        <f t="shared" si="11"/>
        <v>19.16911</v>
      </c>
      <c r="L21" s="432"/>
      <c r="M21" s="323">
        <f>C21/H21*100</f>
        <v>10.163472695647888</v>
      </c>
      <c r="N21" s="323">
        <f>D21/I21*100</f>
        <v>2.149120367961912</v>
      </c>
      <c r="O21" s="323">
        <f>E21/J21*100</f>
        <v>27.733803701098196</v>
      </c>
      <c r="P21" s="324">
        <f>F21/K21*100</f>
        <v>23.720767422170358</v>
      </c>
    </row>
    <row r="22" spans="1:16" s="298" customFormat="1" ht="15.75" customHeight="1">
      <c r="A22" s="334">
        <v>41091</v>
      </c>
      <c r="B22" s="317">
        <v>-0.94857</v>
      </c>
      <c r="C22" s="318">
        <v>6.81866</v>
      </c>
      <c r="D22" s="318">
        <v>-2.10314</v>
      </c>
      <c r="E22" s="318">
        <f t="shared" si="8"/>
        <v>4.715520000000001</v>
      </c>
      <c r="F22" s="378">
        <f t="shared" si="9"/>
        <v>3.7669500000000005</v>
      </c>
      <c r="G22" s="317">
        <v>-0.72608</v>
      </c>
      <c r="H22" s="318">
        <v>24.69893</v>
      </c>
      <c r="I22" s="318">
        <v>-203.53081</v>
      </c>
      <c r="J22" s="318">
        <f t="shared" si="10"/>
        <v>-178.83188</v>
      </c>
      <c r="K22" s="378">
        <f t="shared" si="11"/>
        <v>-179.55796</v>
      </c>
      <c r="L22" s="432"/>
      <c r="M22" s="309">
        <f>C22/H22*100</f>
        <v>27.60710686657276</v>
      </c>
      <c r="N22" s="434"/>
      <c r="O22" s="434"/>
      <c r="P22" s="435"/>
    </row>
    <row r="23" spans="1:16" s="298" customFormat="1" ht="15.75" customHeight="1">
      <c r="A23" s="334">
        <v>41122</v>
      </c>
      <c r="B23" s="317">
        <v>-1.24371</v>
      </c>
      <c r="C23" s="318">
        <v>5.82018</v>
      </c>
      <c r="D23" s="318">
        <v>-0.90656</v>
      </c>
      <c r="E23" s="318">
        <f t="shared" si="8"/>
        <v>4.91362</v>
      </c>
      <c r="F23" s="378">
        <f t="shared" si="9"/>
        <v>3.66991</v>
      </c>
      <c r="G23" s="317">
        <v>-1.1894</v>
      </c>
      <c r="H23" s="318">
        <v>-65.23839</v>
      </c>
      <c r="I23" s="318">
        <v>13.48999</v>
      </c>
      <c r="J23" s="318">
        <f t="shared" si="10"/>
        <v>-51.7484</v>
      </c>
      <c r="K23" s="378">
        <f t="shared" si="11"/>
        <v>-52.937799999999996</v>
      </c>
      <c r="L23" s="432"/>
      <c r="M23" s="309"/>
      <c r="N23" s="434"/>
      <c r="O23" s="434"/>
      <c r="P23" s="435"/>
    </row>
    <row r="24" spans="1:16" s="298" customFormat="1" ht="15.75" customHeight="1">
      <c r="A24" s="334">
        <v>41153</v>
      </c>
      <c r="B24" s="317">
        <v>-1.27945</v>
      </c>
      <c r="C24" s="318">
        <v>4.54957</v>
      </c>
      <c r="D24" s="318">
        <v>-0.61941</v>
      </c>
      <c r="E24" s="318">
        <f aca="true" t="shared" si="12" ref="E24:E29">SUM(C24:D24)</f>
        <v>3.93016</v>
      </c>
      <c r="F24" s="378">
        <f aca="true" t="shared" si="13" ref="F24:F29">E24+B24</f>
        <v>2.65071</v>
      </c>
      <c r="G24" s="317">
        <v>-1.25615</v>
      </c>
      <c r="H24" s="318">
        <v>-14.21437</v>
      </c>
      <c r="I24" s="318">
        <v>-3.24297</v>
      </c>
      <c r="J24" s="318">
        <f aca="true" t="shared" si="14" ref="J24:J29">SUM(H24:I24)</f>
        <v>-17.457340000000002</v>
      </c>
      <c r="K24" s="378">
        <f aca="true" t="shared" si="15" ref="K24:K29">J24+G24</f>
        <v>-18.713490000000004</v>
      </c>
      <c r="L24" s="432"/>
      <c r="M24" s="309"/>
      <c r="N24" s="434"/>
      <c r="O24" s="434"/>
      <c r="P24" s="435"/>
    </row>
    <row r="25" spans="1:16" s="298" customFormat="1" ht="15.75" customHeight="1">
      <c r="A25" s="334">
        <v>41183</v>
      </c>
      <c r="B25" s="317">
        <v>-1.46914</v>
      </c>
      <c r="C25" s="318">
        <v>4.38323</v>
      </c>
      <c r="D25" s="318">
        <v>-0.81175</v>
      </c>
      <c r="E25" s="318">
        <f t="shared" si="12"/>
        <v>3.57148</v>
      </c>
      <c r="F25" s="378">
        <f t="shared" si="13"/>
        <v>2.1023400000000003</v>
      </c>
      <c r="G25" s="317">
        <v>-1.38132</v>
      </c>
      <c r="H25" s="318">
        <v>5.97524</v>
      </c>
      <c r="I25" s="318">
        <v>-29.35126</v>
      </c>
      <c r="J25" s="318">
        <f t="shared" si="14"/>
        <v>-23.37602</v>
      </c>
      <c r="K25" s="378">
        <f t="shared" si="15"/>
        <v>-24.75734</v>
      </c>
      <c r="L25" s="432"/>
      <c r="M25" s="309">
        <f>C25/H25*100</f>
        <v>73.35655136864794</v>
      </c>
      <c r="N25" s="434"/>
      <c r="O25" s="434"/>
      <c r="P25" s="435"/>
    </row>
    <row r="26" spans="1:16" s="298" customFormat="1" ht="15.75" customHeight="1">
      <c r="A26" s="334">
        <v>41214</v>
      </c>
      <c r="B26" s="317">
        <v>-0.80704</v>
      </c>
      <c r="C26" s="318">
        <v>-0.30571</v>
      </c>
      <c r="D26" s="318">
        <v>-0.5045</v>
      </c>
      <c r="E26" s="318">
        <f t="shared" si="12"/>
        <v>-0.8102099999999999</v>
      </c>
      <c r="F26" s="378">
        <f t="shared" si="13"/>
        <v>-1.6172499999999999</v>
      </c>
      <c r="G26" s="317">
        <v>-0.76737</v>
      </c>
      <c r="H26" s="318">
        <v>-90.19644</v>
      </c>
      <c r="I26" s="318">
        <v>-46.26362</v>
      </c>
      <c r="J26" s="318">
        <f t="shared" si="14"/>
        <v>-136.46006</v>
      </c>
      <c r="K26" s="378">
        <f t="shared" si="15"/>
        <v>-137.22743</v>
      </c>
      <c r="L26" s="432"/>
      <c r="M26" s="309">
        <f>C26/H26*100</f>
        <v>0.3389379891268436</v>
      </c>
      <c r="N26" s="434"/>
      <c r="O26" s="434"/>
      <c r="P26" s="435"/>
    </row>
    <row r="27" spans="1:16" s="298" customFormat="1" ht="15.75" customHeight="1">
      <c r="A27" s="334">
        <v>41244</v>
      </c>
      <c r="B27" s="317">
        <v>-0.94327</v>
      </c>
      <c r="C27" s="318">
        <v>1.78405</v>
      </c>
      <c r="D27" s="318">
        <v>-1.65392</v>
      </c>
      <c r="E27" s="318">
        <f t="shared" si="12"/>
        <v>0.13012999999999986</v>
      </c>
      <c r="F27" s="378">
        <f t="shared" si="13"/>
        <v>-0.8131400000000002</v>
      </c>
      <c r="G27" s="317">
        <v>-0.83371</v>
      </c>
      <c r="H27" s="318">
        <v>-66.62281</v>
      </c>
      <c r="I27" s="318">
        <v>-192.159</v>
      </c>
      <c r="J27" s="318">
        <f t="shared" si="14"/>
        <v>-258.78181</v>
      </c>
      <c r="K27" s="378">
        <f t="shared" si="15"/>
        <v>-259.61552</v>
      </c>
      <c r="L27" s="432"/>
      <c r="M27" s="309"/>
      <c r="N27" s="434"/>
      <c r="O27" s="434"/>
      <c r="P27" s="435"/>
    </row>
    <row r="28" spans="1:16" s="298" customFormat="1" ht="15.75" customHeight="1">
      <c r="A28" s="334">
        <v>41275</v>
      </c>
      <c r="B28" s="317">
        <v>-2.81497</v>
      </c>
      <c r="C28" s="318">
        <v>3.68356</v>
      </c>
      <c r="D28" s="318">
        <v>-0.4981</v>
      </c>
      <c r="E28" s="318">
        <f t="shared" si="12"/>
        <v>3.18546</v>
      </c>
      <c r="F28" s="378">
        <f t="shared" si="13"/>
        <v>0.37048999999999976</v>
      </c>
      <c r="G28" s="317">
        <v>-2.64825</v>
      </c>
      <c r="H28" s="318">
        <v>18.2383</v>
      </c>
      <c r="I28" s="318">
        <v>-38.32713</v>
      </c>
      <c r="J28" s="318">
        <f t="shared" si="14"/>
        <v>-20.088829999999998</v>
      </c>
      <c r="K28" s="378">
        <f t="shared" si="15"/>
        <v>-22.73708</v>
      </c>
      <c r="L28" s="432"/>
      <c r="M28" s="309"/>
      <c r="N28" s="434"/>
      <c r="O28" s="434"/>
      <c r="P28" s="435"/>
    </row>
    <row r="29" spans="1:16" s="298" customFormat="1" ht="15.75" customHeight="1">
      <c r="A29" s="334">
        <v>41306</v>
      </c>
      <c r="B29" s="317">
        <v>-1.68503</v>
      </c>
      <c r="C29" s="318">
        <v>4.88272</v>
      </c>
      <c r="D29" s="318">
        <v>-0.58598</v>
      </c>
      <c r="E29" s="318">
        <f t="shared" si="12"/>
        <v>4.29674</v>
      </c>
      <c r="F29" s="378">
        <f t="shared" si="13"/>
        <v>2.6117099999999995</v>
      </c>
      <c r="G29" s="317">
        <v>-1.77333</v>
      </c>
      <c r="H29" s="318">
        <v>-11.64706</v>
      </c>
      <c r="I29" s="318">
        <v>1.01908</v>
      </c>
      <c r="J29" s="318">
        <f t="shared" si="14"/>
        <v>-10.627979999999999</v>
      </c>
      <c r="K29" s="378">
        <f t="shared" si="15"/>
        <v>-12.401309999999999</v>
      </c>
      <c r="L29" s="432"/>
      <c r="M29" s="309"/>
      <c r="N29" s="434"/>
      <c r="O29" s="434"/>
      <c r="P29" s="435"/>
    </row>
    <row r="30" spans="1:16" ht="15.75" customHeight="1">
      <c r="A30" s="334">
        <v>41334</v>
      </c>
      <c r="B30" s="306">
        <f>('Anne-8'!D42)/100000</f>
        <v>-1.45042</v>
      </c>
      <c r="C30" s="307">
        <f>('Anne-6'!D43)/100000</f>
        <v>5.55407</v>
      </c>
      <c r="D30" s="307">
        <f>'Anne-7'!F42/100000</f>
        <v>-0.19349</v>
      </c>
      <c r="E30" s="307">
        <f t="shared" si="8"/>
        <v>5.360580000000001</v>
      </c>
      <c r="F30" s="308">
        <f t="shared" si="9"/>
        <v>3.9101600000000003</v>
      </c>
      <c r="G30" s="306">
        <f>('Anne-8'!O42)/100000</f>
        <v>-1.34214</v>
      </c>
      <c r="H30" s="307">
        <f>('Anne-6'!Z43)/100000</f>
        <v>62.10953</v>
      </c>
      <c r="I30" s="307">
        <f>('Anne-7'!N42)/100000</f>
        <v>-1.07886</v>
      </c>
      <c r="J30" s="307">
        <f t="shared" si="10"/>
        <v>61.03067</v>
      </c>
      <c r="K30" s="308">
        <f t="shared" si="11"/>
        <v>59.68853</v>
      </c>
      <c r="L30" s="431"/>
      <c r="M30" s="454"/>
      <c r="N30" s="434"/>
      <c r="O30" s="434"/>
      <c r="P30" s="435"/>
    </row>
    <row r="31" spans="1:16" s="298" customFormat="1" ht="15.75" customHeight="1" thickBot="1">
      <c r="A31" s="336" t="s">
        <v>47</v>
      </c>
      <c r="B31" s="311">
        <f>SUM(B19:B30)</f>
        <v>-20.216700000000003</v>
      </c>
      <c r="C31" s="312">
        <f aca="true" t="shared" si="16" ref="C31:K31">SUM(C19:C30)</f>
        <v>39.95738</v>
      </c>
      <c r="D31" s="312">
        <f t="shared" si="16"/>
        <v>-13.02101</v>
      </c>
      <c r="E31" s="312">
        <f t="shared" si="16"/>
        <v>26.936369999999997</v>
      </c>
      <c r="F31" s="313">
        <f t="shared" si="16"/>
        <v>6.719670000000001</v>
      </c>
      <c r="G31" s="311">
        <f t="shared" si="16"/>
        <v>-19.434720000000002</v>
      </c>
      <c r="H31" s="312">
        <f t="shared" si="16"/>
        <v>11.35304</v>
      </c>
      <c r="I31" s="312">
        <f t="shared" si="16"/>
        <v>-534.46007</v>
      </c>
      <c r="J31" s="312">
        <f t="shared" si="16"/>
        <v>-523.1070300000001</v>
      </c>
      <c r="K31" s="313">
        <f t="shared" si="16"/>
        <v>-542.5417499999999</v>
      </c>
      <c r="L31" s="433"/>
      <c r="M31" s="455"/>
      <c r="N31" s="436"/>
      <c r="O31" s="436"/>
      <c r="P31" s="437"/>
    </row>
    <row r="32" spans="1:16" s="298" customFormat="1" ht="19.5" customHeigh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40"/>
      <c r="M32" s="440"/>
      <c r="N32" s="441"/>
      <c r="O32" s="441"/>
      <c r="P32" s="441"/>
    </row>
    <row r="33" ht="15.75">
      <c r="A33" s="298" t="s">
        <v>210</v>
      </c>
    </row>
    <row r="37" ht="15">
      <c r="H37" s="316"/>
    </row>
    <row r="42" ht="15">
      <c r="I42" s="326"/>
    </row>
  </sheetData>
  <sheetProtection/>
  <mergeCells count="13">
    <mergeCell ref="K4:K5"/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4">
      <selection activeCell="Q18" sqref="Q18"/>
    </sheetView>
  </sheetViews>
  <sheetFormatPr defaultColWidth="9.140625" defaultRowHeight="12.75"/>
  <cols>
    <col min="1" max="1" width="18.7109375" style="414" customWidth="1"/>
    <col min="2" max="2" width="10.140625" style="414" customWidth="1"/>
    <col min="3" max="3" width="10.28125" style="414" customWidth="1"/>
    <col min="4" max="4" width="11.00390625" style="414" customWidth="1"/>
    <col min="5" max="6" width="8.8515625" style="414" customWidth="1"/>
    <col min="7" max="7" width="7.7109375" style="414" customWidth="1"/>
    <col min="8" max="8" width="8.00390625" style="414" customWidth="1"/>
    <col min="9" max="9" width="7.57421875" style="414" customWidth="1"/>
    <col min="10" max="10" width="7.8515625" style="414" customWidth="1"/>
    <col min="11" max="11" width="9.00390625" style="414" customWidth="1"/>
    <col min="12" max="12" width="7.7109375" style="414" customWidth="1"/>
    <col min="13" max="13" width="9.00390625" style="414" customWidth="1"/>
    <col min="14" max="14" width="7.28125" style="414" customWidth="1"/>
    <col min="15" max="15" width="12.28125" style="414" customWidth="1"/>
    <col min="16" max="16384" width="9.140625" style="414" customWidth="1"/>
  </cols>
  <sheetData>
    <row r="1" spans="1:13" ht="1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 t="s">
        <v>206</v>
      </c>
      <c r="L1" s="332"/>
      <c r="M1" s="332"/>
    </row>
    <row r="2" spans="1:13" ht="15.75">
      <c r="A2" s="421" t="s">
        <v>235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ht="15">
      <c r="A3" s="332"/>
      <c r="B3" s="332"/>
      <c r="C3" s="332"/>
      <c r="D3" s="332"/>
      <c r="E3" s="332"/>
      <c r="F3" s="332"/>
      <c r="G3" s="332"/>
      <c r="H3" s="332"/>
      <c r="I3" s="332"/>
      <c r="J3" s="332"/>
      <c r="M3" s="332"/>
    </row>
    <row r="4" spans="1:9" ht="29.25" customHeight="1">
      <c r="A4" s="416" t="s">
        <v>202</v>
      </c>
      <c r="B4" s="417" t="s">
        <v>203</v>
      </c>
      <c r="C4" s="417" t="s">
        <v>204</v>
      </c>
      <c r="D4" s="417" t="s">
        <v>205</v>
      </c>
      <c r="F4" s="414" t="s">
        <v>67</v>
      </c>
      <c r="G4" s="414">
        <v>119.259713</v>
      </c>
      <c r="H4" s="414">
        <f aca="true" t="shared" si="0" ref="H4:H13">G4*I4%</f>
        <v>117.3157796781</v>
      </c>
      <c r="I4" s="414">
        <v>98.37</v>
      </c>
    </row>
    <row r="5" spans="1:13" ht="14.25">
      <c r="A5" s="3" t="s">
        <v>67</v>
      </c>
      <c r="B5" s="395">
        <v>119.259713</v>
      </c>
      <c r="C5" s="396">
        <v>117.3157796781</v>
      </c>
      <c r="D5" s="396">
        <f>C5/B5*100</f>
        <v>98.36999999999999</v>
      </c>
      <c r="F5" s="414" t="s">
        <v>75</v>
      </c>
      <c r="G5" s="414">
        <v>186.62212</v>
      </c>
      <c r="H5" s="414">
        <f t="shared" si="0"/>
        <v>177.514960544</v>
      </c>
      <c r="I5" s="414">
        <v>95.12</v>
      </c>
      <c r="M5" s="415"/>
    </row>
    <row r="6" spans="1:13" ht="14.25">
      <c r="A6" s="3" t="s">
        <v>75</v>
      </c>
      <c r="B6" s="395">
        <v>186.62212</v>
      </c>
      <c r="C6" s="396">
        <v>177.514960544</v>
      </c>
      <c r="D6" s="396">
        <f aca="true" t="shared" si="1" ref="D6:D18">C6/B6*100</f>
        <v>95.11999999999999</v>
      </c>
      <c r="F6" s="414" t="s">
        <v>199</v>
      </c>
      <c r="G6" s="414">
        <v>149.886765</v>
      </c>
      <c r="H6" s="414">
        <f t="shared" si="0"/>
        <v>142.3774380735</v>
      </c>
      <c r="I6" s="414">
        <v>94.99</v>
      </c>
      <c r="M6" s="415"/>
    </row>
    <row r="7" spans="1:13" ht="14.25">
      <c r="A7" s="3" t="s">
        <v>199</v>
      </c>
      <c r="B7" s="395">
        <v>149.886765</v>
      </c>
      <c r="C7" s="396">
        <v>142.3774380735</v>
      </c>
      <c r="D7" s="396">
        <f t="shared" si="1"/>
        <v>94.99000000000001</v>
      </c>
      <c r="F7" s="414" t="s">
        <v>224</v>
      </c>
      <c r="G7" s="414">
        <v>119.945979</v>
      </c>
      <c r="H7" s="414">
        <f t="shared" si="0"/>
        <v>104.04114218459999</v>
      </c>
      <c r="I7" s="414">
        <v>86.74</v>
      </c>
      <c r="M7" s="415"/>
    </row>
    <row r="8" spans="1:13" ht="14.25">
      <c r="A8" s="3" t="s">
        <v>224</v>
      </c>
      <c r="B8" s="395">
        <v>119.945979</v>
      </c>
      <c r="C8" s="396">
        <v>104.04114218459999</v>
      </c>
      <c r="D8" s="396">
        <f t="shared" si="1"/>
        <v>86.74</v>
      </c>
      <c r="F8" s="414" t="s">
        <v>200</v>
      </c>
      <c r="G8" s="414">
        <v>66.989775</v>
      </c>
      <c r="H8" s="414">
        <f t="shared" si="0"/>
        <v>45.968383605</v>
      </c>
      <c r="I8" s="414">
        <v>68.62</v>
      </c>
      <c r="M8" s="415"/>
    </row>
    <row r="9" spans="1:13" ht="14.25">
      <c r="A9" s="3" t="s">
        <v>200</v>
      </c>
      <c r="B9" s="395">
        <v>66.989775</v>
      </c>
      <c r="C9" s="396">
        <v>45.968383605</v>
      </c>
      <c r="D9" s="396">
        <f t="shared" si="1"/>
        <v>68.62</v>
      </c>
      <c r="F9" s="414" t="s">
        <v>144</v>
      </c>
      <c r="G9" s="414">
        <v>2.060119</v>
      </c>
      <c r="H9" s="414">
        <f t="shared" si="0"/>
        <v>1.3388713380999997</v>
      </c>
      <c r="I9" s="414">
        <v>64.99</v>
      </c>
      <c r="M9" s="415"/>
    </row>
    <row r="10" spans="1:13" ht="14.25">
      <c r="A10" s="3" t="s">
        <v>144</v>
      </c>
      <c r="B10" s="395">
        <v>2.060119</v>
      </c>
      <c r="C10" s="396">
        <v>1.3388713380999997</v>
      </c>
      <c r="D10" s="396">
        <f t="shared" si="1"/>
        <v>64.99</v>
      </c>
      <c r="F10" s="414" t="s">
        <v>68</v>
      </c>
      <c r="G10" s="414">
        <v>60.872785</v>
      </c>
      <c r="H10" s="414">
        <f t="shared" si="0"/>
        <v>38.1002761315</v>
      </c>
      <c r="I10" s="414">
        <v>62.59</v>
      </c>
      <c r="M10" s="415"/>
    </row>
    <row r="11" spans="1:13" ht="14.25">
      <c r="A11" s="3" t="s">
        <v>68</v>
      </c>
      <c r="B11" s="395">
        <v>60.872785</v>
      </c>
      <c r="C11" s="396">
        <v>38.1002761315</v>
      </c>
      <c r="D11" s="396">
        <f>C11/B11*100</f>
        <v>62.59</v>
      </c>
      <c r="F11" s="414" t="s">
        <v>134</v>
      </c>
      <c r="G11" s="414">
        <v>31.770774</v>
      </c>
      <c r="H11" s="414">
        <f t="shared" si="0"/>
        <v>19.8599108274</v>
      </c>
      <c r="I11" s="414">
        <v>62.51</v>
      </c>
      <c r="M11" s="415"/>
    </row>
    <row r="12" spans="1:13" ht="14.25">
      <c r="A12" s="3" t="s">
        <v>134</v>
      </c>
      <c r="B12" s="395">
        <v>31.770774</v>
      </c>
      <c r="C12" s="396">
        <v>19.8599108274</v>
      </c>
      <c r="D12" s="396">
        <f>C12/B12*100</f>
        <v>62.51</v>
      </c>
      <c r="F12" s="414" t="s">
        <v>201</v>
      </c>
      <c r="G12" s="414">
        <v>1.444026</v>
      </c>
      <c r="H12" s="414">
        <f t="shared" si="0"/>
        <v>0.8617947168</v>
      </c>
      <c r="I12" s="415">
        <v>59.68</v>
      </c>
      <c r="M12" s="415"/>
    </row>
    <row r="13" spans="1:13" ht="14.25">
      <c r="A13" s="3" t="s">
        <v>201</v>
      </c>
      <c r="B13" s="395">
        <v>1.444026</v>
      </c>
      <c r="C13" s="396">
        <v>0.8617947168</v>
      </c>
      <c r="D13" s="396">
        <f t="shared" si="1"/>
        <v>59.68</v>
      </c>
      <c r="F13" s="414" t="s">
        <v>1</v>
      </c>
      <c r="G13" s="414">
        <v>100.670567</v>
      </c>
      <c r="H13" s="414">
        <f t="shared" si="0"/>
        <v>54.53324614390001</v>
      </c>
      <c r="I13" s="414">
        <v>54.17</v>
      </c>
      <c r="M13" s="415"/>
    </row>
    <row r="14" spans="1:13" ht="14.25">
      <c r="A14" s="3" t="s">
        <v>1</v>
      </c>
      <c r="B14" s="395">
        <v>100.670567</v>
      </c>
      <c r="C14" s="396">
        <v>54.53324614390001</v>
      </c>
      <c r="D14" s="396">
        <f t="shared" si="1"/>
        <v>54.17000000000001</v>
      </c>
      <c r="F14" s="414" t="s">
        <v>190</v>
      </c>
      <c r="G14" s="414">
        <v>14.033836</v>
      </c>
      <c r="H14" s="414">
        <f>G14*I14%</f>
        <v>7.0646330424000015</v>
      </c>
      <c r="I14" s="414">
        <v>50.34</v>
      </c>
      <c r="M14" s="415"/>
    </row>
    <row r="15" spans="1:13" ht="14.25">
      <c r="A15" s="3" t="s">
        <v>190</v>
      </c>
      <c r="B15" s="395">
        <v>14.033836</v>
      </c>
      <c r="C15" s="396">
        <v>7.0646330424000015</v>
      </c>
      <c r="D15" s="396">
        <f t="shared" si="1"/>
        <v>50.34</v>
      </c>
      <c r="F15" s="414" t="s">
        <v>188</v>
      </c>
      <c r="G15" s="414">
        <v>3.028539</v>
      </c>
      <c r="H15" s="414">
        <f>G15*I15%</f>
        <v>1.4016078492</v>
      </c>
      <c r="I15" s="414">
        <v>46.28</v>
      </c>
      <c r="M15" s="415"/>
    </row>
    <row r="16" spans="1:13" ht="14.25">
      <c r="A16" s="3" t="s">
        <v>188</v>
      </c>
      <c r="B16" s="395">
        <v>3.028539</v>
      </c>
      <c r="C16" s="396">
        <v>1.4016078492</v>
      </c>
      <c r="D16" s="396">
        <f t="shared" si="1"/>
        <v>46.28</v>
      </c>
      <c r="F16" s="414" t="s">
        <v>2</v>
      </c>
      <c r="G16" s="414">
        <v>5.09804</v>
      </c>
      <c r="H16" s="414">
        <f>G16*I16%</f>
        <v>2.097333656</v>
      </c>
      <c r="I16" s="414">
        <v>41.14</v>
      </c>
      <c r="M16" s="415"/>
    </row>
    <row r="17" spans="1:13" ht="14.25">
      <c r="A17" s="397" t="s">
        <v>2</v>
      </c>
      <c r="B17" s="395">
        <v>5.09804</v>
      </c>
      <c r="C17" s="396">
        <v>2.097333656</v>
      </c>
      <c r="D17" s="396">
        <f t="shared" si="1"/>
        <v>41.14</v>
      </c>
      <c r="M17" s="415"/>
    </row>
    <row r="18" spans="1:14" ht="15">
      <c r="A18" s="175" t="s">
        <v>47</v>
      </c>
      <c r="B18" s="395">
        <f>SUM(B5:B17)</f>
        <v>861.6830379999999</v>
      </c>
      <c r="C18" s="395">
        <f>SUM(C5:C17)</f>
        <v>712.4753777904999</v>
      </c>
      <c r="D18" s="396">
        <f t="shared" si="1"/>
        <v>82.68415953088541</v>
      </c>
      <c r="H18" s="414">
        <f>SUM(H4:H16)</f>
        <v>712.4753777904999</v>
      </c>
      <c r="N18" s="415"/>
    </row>
    <row r="31" spans="12:17" ht="14.25">
      <c r="L31" s="414" t="s">
        <v>207</v>
      </c>
      <c r="Q31" s="419"/>
    </row>
    <row r="32" spans="1:15" ht="14.25">
      <c r="A32" s="177"/>
      <c r="B32" s="412" t="str">
        <f>A5</f>
        <v>Idea</v>
      </c>
      <c r="C32" s="412" t="str">
        <f>A6</f>
        <v>Bharti Airtel</v>
      </c>
      <c r="D32" s="412" t="str">
        <f>A7</f>
        <v>Vodaphone</v>
      </c>
      <c r="E32" s="412" t="str">
        <f>A8</f>
        <v>Reliance.</v>
      </c>
      <c r="F32" s="412" t="str">
        <f>A9</f>
        <v>Tata</v>
      </c>
      <c r="G32" s="412" t="str">
        <f>A10</f>
        <v>Vidiocon</v>
      </c>
      <c r="H32" s="451" t="str">
        <f>A11</f>
        <v>Aircel</v>
      </c>
      <c r="I32" s="412" t="str">
        <f>A12</f>
        <v>Uninor</v>
      </c>
      <c r="J32" s="452" t="str">
        <f>A13</f>
        <v>Quadrant</v>
      </c>
      <c r="K32" s="452" t="str">
        <f>A14</f>
        <v>BSNL</v>
      </c>
      <c r="L32" s="453" t="str">
        <f>A15</f>
        <v>Sistema Shyam</v>
      </c>
      <c r="M32" s="412" t="str">
        <f>A16</f>
        <v>Loop Mobile</v>
      </c>
      <c r="N32" s="412" t="str">
        <f>A17</f>
        <v>MTNL</v>
      </c>
      <c r="O32" s="420" t="s">
        <v>47</v>
      </c>
    </row>
    <row r="33" spans="1:15" ht="14.25">
      <c r="A33" s="177" t="s">
        <v>203</v>
      </c>
      <c r="B33" s="418">
        <f>B5</f>
        <v>119.259713</v>
      </c>
      <c r="C33" s="418">
        <f>B6</f>
        <v>186.62212</v>
      </c>
      <c r="D33" s="418">
        <f>B7</f>
        <v>149.886765</v>
      </c>
      <c r="E33" s="418">
        <f>B8</f>
        <v>119.945979</v>
      </c>
      <c r="F33" s="418">
        <f>B9</f>
        <v>66.989775</v>
      </c>
      <c r="G33" s="418">
        <f>B10</f>
        <v>2.060119</v>
      </c>
      <c r="H33" s="418">
        <f>B11</f>
        <v>60.872785</v>
      </c>
      <c r="I33" s="418">
        <f>B12</f>
        <v>31.770774</v>
      </c>
      <c r="J33" s="418">
        <f>B13</f>
        <v>1.444026</v>
      </c>
      <c r="K33" s="418">
        <f>B14</f>
        <v>100.670567</v>
      </c>
      <c r="L33" s="418">
        <f>B15</f>
        <v>14.033836</v>
      </c>
      <c r="M33" s="418">
        <f>B16</f>
        <v>3.028539</v>
      </c>
      <c r="N33" s="418">
        <f>B17</f>
        <v>5.09804</v>
      </c>
      <c r="O33" s="418">
        <f>B18</f>
        <v>861.6830379999999</v>
      </c>
    </row>
    <row r="34" spans="1:15" ht="14.25">
      <c r="A34" s="177" t="s">
        <v>204</v>
      </c>
      <c r="B34" s="418">
        <f>C5</f>
        <v>117.3157796781</v>
      </c>
      <c r="C34" s="418">
        <f>C6</f>
        <v>177.514960544</v>
      </c>
      <c r="D34" s="418">
        <f>C7</f>
        <v>142.3774380735</v>
      </c>
      <c r="E34" s="418">
        <f>C8</f>
        <v>104.04114218459999</v>
      </c>
      <c r="F34" s="418">
        <f>C9</f>
        <v>45.968383605</v>
      </c>
      <c r="G34" s="418">
        <f>C10</f>
        <v>1.3388713380999997</v>
      </c>
      <c r="H34" s="418">
        <f>C11</f>
        <v>38.1002761315</v>
      </c>
      <c r="I34" s="418">
        <f>C12</f>
        <v>19.8599108274</v>
      </c>
      <c r="J34" s="418">
        <f>C13</f>
        <v>0.8617947168</v>
      </c>
      <c r="K34" s="418">
        <f>C14</f>
        <v>54.53324614390001</v>
      </c>
      <c r="L34" s="418">
        <f>C15</f>
        <v>7.0646330424000015</v>
      </c>
      <c r="M34" s="418">
        <f>C16</f>
        <v>1.4016078492</v>
      </c>
      <c r="N34" s="418">
        <f>C17</f>
        <v>2.097333656</v>
      </c>
      <c r="O34" s="418">
        <f>C18</f>
        <v>712.4753777904999</v>
      </c>
    </row>
    <row r="36" ht="14.25">
      <c r="A36" s="414" t="s">
        <v>208</v>
      </c>
    </row>
    <row r="38" spans="9:15" ht="14.25">
      <c r="I38" s="414">
        <f>I34/I33*100</f>
        <v>62.51</v>
      </c>
      <c r="K38" s="414">
        <f>K34/K33*100</f>
        <v>54.17000000000001</v>
      </c>
      <c r="N38" s="414">
        <f>0.3988*N33</f>
        <v>2.033098352</v>
      </c>
      <c r="O38" s="415">
        <f>O34/O33*100</f>
        <v>82.68415953088541</v>
      </c>
    </row>
    <row r="42" spans="2:3" ht="14.25">
      <c r="B42" s="415"/>
      <c r="C42" s="415"/>
    </row>
    <row r="43" spans="2:3" ht="14.25">
      <c r="B43" s="415"/>
      <c r="C43" s="415"/>
    </row>
    <row r="44" spans="2:3" ht="14.25">
      <c r="B44" s="415"/>
      <c r="C44" s="415"/>
    </row>
    <row r="45" spans="2:3" ht="14.25">
      <c r="B45" s="415"/>
      <c r="C45" s="415"/>
    </row>
    <row r="46" spans="2:3" ht="14.25">
      <c r="B46" s="415"/>
      <c r="C46" s="415"/>
    </row>
    <row r="47" spans="2:3" ht="14.25">
      <c r="B47" s="415"/>
      <c r="C47" s="415"/>
    </row>
    <row r="48" spans="2:3" ht="14.25">
      <c r="B48" s="415"/>
      <c r="C48" s="415"/>
    </row>
    <row r="49" spans="2:3" ht="14.25">
      <c r="B49" s="415"/>
      <c r="C49" s="415"/>
    </row>
    <row r="50" spans="2:3" ht="14.25">
      <c r="B50" s="415"/>
      <c r="C50" s="415"/>
    </row>
    <row r="51" spans="2:3" ht="14.25">
      <c r="B51" s="415"/>
      <c r="C51" s="415"/>
    </row>
    <row r="52" spans="2:3" ht="14.25">
      <c r="B52" s="415"/>
      <c r="C52" s="415"/>
    </row>
    <row r="53" spans="2:3" ht="14.25">
      <c r="B53" s="415"/>
      <c r="C53" s="415"/>
    </row>
    <row r="54" spans="2:3" ht="14.25">
      <c r="B54" s="415"/>
      <c r="C54" s="415"/>
    </row>
    <row r="55" spans="2:4" ht="14.25">
      <c r="B55" s="415"/>
      <c r="C55" s="415"/>
      <c r="D55" s="415"/>
    </row>
    <row r="57" ht="14.25">
      <c r="E57" s="415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S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47" sqref="AK47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192</v>
      </c>
      <c r="C2" s="2"/>
      <c r="D2" s="2"/>
      <c r="E2" s="2"/>
      <c r="G2" s="2" t="s">
        <v>249</v>
      </c>
      <c r="H2" s="2"/>
    </row>
    <row r="4" spans="2:33" ht="15">
      <c r="B4" s="26" t="s">
        <v>234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3" t="s">
        <v>62</v>
      </c>
      <c r="B6" s="473" t="s">
        <v>63</v>
      </c>
      <c r="C6" s="476" t="s">
        <v>155</v>
      </c>
      <c r="D6" s="477"/>
      <c r="E6" s="478"/>
      <c r="F6" s="166"/>
      <c r="G6" s="474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474" t="s">
        <v>69</v>
      </c>
      <c r="T6" s="473" t="s">
        <v>70</v>
      </c>
      <c r="U6" s="473" t="s">
        <v>128</v>
      </c>
      <c r="V6" s="473"/>
      <c r="W6" s="473"/>
      <c r="X6" s="473" t="s">
        <v>128</v>
      </c>
      <c r="Y6" s="473"/>
      <c r="Z6" s="482" t="s">
        <v>129</v>
      </c>
      <c r="AA6" s="466" t="s">
        <v>102</v>
      </c>
      <c r="AB6" s="468" t="s">
        <v>248</v>
      </c>
      <c r="AC6" s="469"/>
      <c r="AD6" s="470"/>
      <c r="AE6" s="479" t="s">
        <v>86</v>
      </c>
      <c r="AF6" s="480"/>
      <c r="AG6" s="481"/>
    </row>
    <row r="7" spans="1:33" ht="30" customHeight="1">
      <c r="A7" s="473"/>
      <c r="B7" s="473"/>
      <c r="C7" s="49" t="s">
        <v>87</v>
      </c>
      <c r="D7" s="49" t="s">
        <v>88</v>
      </c>
      <c r="E7" s="49" t="s">
        <v>89</v>
      </c>
      <c r="F7" s="49" t="s">
        <v>2</v>
      </c>
      <c r="G7" s="475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134</v>
      </c>
      <c r="R7" s="165" t="s">
        <v>146</v>
      </c>
      <c r="S7" s="475"/>
      <c r="T7" s="473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483"/>
      <c r="AA7" s="467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133573</v>
      </c>
      <c r="D8" s="60">
        <f>'Anne-8'!S9+'Anne-7'!R9+'Anne-7'!U9+'Anne-6'!AD9</f>
        <v>97435</v>
      </c>
      <c r="E8" s="58">
        <f>C8+D8</f>
        <v>231008</v>
      </c>
      <c r="F8" s="58"/>
      <c r="G8" s="379" t="s">
        <v>196</v>
      </c>
      <c r="H8" s="379" t="s">
        <v>196</v>
      </c>
      <c r="I8" s="379" t="s">
        <v>196</v>
      </c>
      <c r="J8" s="379" t="s">
        <v>196</v>
      </c>
      <c r="K8" s="379" t="s">
        <v>196</v>
      </c>
      <c r="L8" s="379" t="s">
        <v>196</v>
      </c>
      <c r="M8" s="379" t="s">
        <v>196</v>
      </c>
      <c r="N8" s="379" t="s">
        <v>196</v>
      </c>
      <c r="O8" s="379" t="s">
        <v>196</v>
      </c>
      <c r="P8" s="379" t="s">
        <v>196</v>
      </c>
      <c r="Q8" s="379" t="s">
        <v>196</v>
      </c>
      <c r="R8" s="379" t="s">
        <v>196</v>
      </c>
      <c r="S8" s="379" t="s">
        <v>196</v>
      </c>
      <c r="T8" s="379" t="s">
        <v>196</v>
      </c>
      <c r="U8" s="151">
        <f aca="true" t="shared" si="0" ref="U8:U31">C8/(AC8*1000)*100</f>
        <v>89.73035159049282</v>
      </c>
      <c r="V8" s="151">
        <f aca="true" t="shared" si="1" ref="V8:V31">D8/(AD8*1000)*100</f>
        <v>41.968794243345826</v>
      </c>
      <c r="W8" s="151">
        <f aca="true" t="shared" si="2" ref="W8:W34">E8/(AB8*1000)*100</f>
        <v>60.628673935652245</v>
      </c>
      <c r="X8" s="151"/>
      <c r="Y8" s="151"/>
      <c r="Z8" s="152"/>
      <c r="AA8" s="58"/>
      <c r="AB8" s="58">
        <f aca="true" t="shared" si="3" ref="AB8:AB33">AC8+AD8</f>
        <v>381.0210334555205</v>
      </c>
      <c r="AC8" s="58">
        <f>'Anne-4'!Z8</f>
        <v>148.86044424476816</v>
      </c>
      <c r="AD8" s="58">
        <f>'Anne-4'!AA8</f>
        <v>232.1605892107524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5702944</v>
      </c>
      <c r="D9" s="60">
        <f>'Anne-8'!S10+'Anne-7'!R10+'Anne-7'!U10+'Anne-6'!AD10</f>
        <v>5525730</v>
      </c>
      <c r="E9" s="58">
        <f aca="true" t="shared" si="5" ref="E9:E33">C9+D9</f>
        <v>11228674</v>
      </c>
      <c r="F9" s="58"/>
      <c r="G9" s="58">
        <f>E9</f>
        <v>11228674</v>
      </c>
      <c r="H9" s="58">
        <f>'Anne-6'!G10+'Anne-8'!H10</f>
        <v>18377708</v>
      </c>
      <c r="I9" s="58">
        <f>'Anne-6'!S10+'Anne-7'!I10+'Anne-8'!I10</f>
        <v>7109338</v>
      </c>
      <c r="J9" s="58">
        <f>'Anne-6'!I10+'Anne-8'!M10</f>
        <v>5871048</v>
      </c>
      <c r="K9" s="58">
        <f>'Anne-7'!J10+'Anne-8'!J10</f>
        <v>6756030</v>
      </c>
      <c r="L9" s="58">
        <f>'Anne-6'!N10</f>
        <v>11193280</v>
      </c>
      <c r="M9" s="58">
        <f>'Anne-6'!K10</f>
        <v>1762191</v>
      </c>
      <c r="N9" s="217">
        <f>'Anne-6'!X10</f>
        <v>0</v>
      </c>
      <c r="O9" s="58"/>
      <c r="P9" s="58">
        <f>'Anne-7'!L10+'Anne-8'!L10</f>
        <v>0</v>
      </c>
      <c r="Q9" s="58">
        <f>'Anne-4'!O9</f>
        <v>4304686</v>
      </c>
      <c r="R9" s="58">
        <f>'Anne-6'!W10</f>
        <v>0</v>
      </c>
      <c r="S9" s="58">
        <f aca="true" t="shared" si="6" ref="S9:S37">H9+I9+K9+J9+L9+M9+N9+O9+P9+Q9+R9</f>
        <v>55374281</v>
      </c>
      <c r="T9" s="58">
        <f aca="true" t="shared" si="7" ref="T9:T33">G9+S9</f>
        <v>66602955</v>
      </c>
      <c r="U9" s="151">
        <f t="shared" si="0"/>
        <v>24.03303262030639</v>
      </c>
      <c r="V9" s="151">
        <f t="shared" si="1"/>
        <v>8.929656752828743</v>
      </c>
      <c r="W9" s="151">
        <f t="shared" si="2"/>
        <v>13.11603769340168</v>
      </c>
      <c r="X9" s="151">
        <f>G9/(AA9*1000)*100</f>
        <v>13.11603769340168</v>
      </c>
      <c r="Y9" s="151">
        <f>T9/(AA9*1000)*100</f>
        <v>77.79786538214005</v>
      </c>
      <c r="Z9" s="152">
        <f>G9/T9*100</f>
        <v>16.85912284222224</v>
      </c>
      <c r="AA9" s="58">
        <f>AB9</f>
        <v>85610.26022095712</v>
      </c>
      <c r="AB9" s="58">
        <f t="shared" si="3"/>
        <v>85610.26022095712</v>
      </c>
      <c r="AC9" s="58">
        <f>'Anne-4'!Z9</f>
        <v>23729.606205341614</v>
      </c>
      <c r="AD9" s="58">
        <f>'Anne-4'!AA9</f>
        <v>61880.65401561551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984678</v>
      </c>
      <c r="D10" s="60">
        <f>'Anne-8'!S11+'Anne-7'!R11+'Anne-7'!U11+'Anne-6'!AD11</f>
        <v>445399</v>
      </c>
      <c r="E10" s="58">
        <f t="shared" si="5"/>
        <v>1430077</v>
      </c>
      <c r="F10" s="58"/>
      <c r="G10" s="58">
        <f>E10</f>
        <v>1430077</v>
      </c>
      <c r="H10" s="58">
        <f>'Anne-6'!G11+'Anne-8'!H11</f>
        <v>3967502</v>
      </c>
      <c r="I10" s="58">
        <f>'Anne-6'!S11+'Anne-7'!I11+'Anne-8'!I11</f>
        <v>2952654</v>
      </c>
      <c r="J10" s="58">
        <f>'Anne-6'!I11+'Anne-8'!M11</f>
        <v>2330155</v>
      </c>
      <c r="K10" s="58">
        <f>'Anne-7'!J11+'Anne-8'!J11</f>
        <v>0</v>
      </c>
      <c r="L10" s="58">
        <f>'Anne-6'!N11</f>
        <v>394272</v>
      </c>
      <c r="M10" s="58">
        <f>'Anne-6'!K11</f>
        <v>3507159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13151742</v>
      </c>
      <c r="T10" s="58">
        <f t="shared" si="7"/>
        <v>14581819</v>
      </c>
      <c r="U10" s="151">
        <f t="shared" si="0"/>
        <v>20.668747715729268</v>
      </c>
      <c r="V10" s="151">
        <f t="shared" si="1"/>
        <v>1.6438309539859068</v>
      </c>
      <c r="W10" s="151">
        <f t="shared" si="2"/>
        <v>4.488730669961075</v>
      </c>
      <c r="X10" s="151">
        <f>G10/(AA10*1000)*100</f>
        <v>4.488730669961075</v>
      </c>
      <c r="Y10" s="151">
        <f aca="true" t="shared" si="8" ref="Y10:Y37">T10/(AA10*1000)*100</f>
        <v>45.76946427998012</v>
      </c>
      <c r="Z10" s="152">
        <f>G10/T10*100</f>
        <v>9.80726067166243</v>
      </c>
      <c r="AA10" s="58">
        <f>AB10</f>
        <v>31859.273927263745</v>
      </c>
      <c r="AB10" s="58">
        <f t="shared" si="3"/>
        <v>31859.273927263745</v>
      </c>
      <c r="AC10" s="58">
        <f>'Anne-4'!Z10</f>
        <v>4764.0912431798815</v>
      </c>
      <c r="AD10" s="58">
        <f>'Anne-4'!AA10</f>
        <v>27095.182684083862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2879440</v>
      </c>
      <c r="D11" s="60">
        <f>'Anne-8'!S12+'Anne-7'!R12+'Anne-7'!U12+'Anne-6'!AD12</f>
        <v>1563070</v>
      </c>
      <c r="E11" s="58">
        <f t="shared" si="5"/>
        <v>4442510</v>
      </c>
      <c r="F11" s="58"/>
      <c r="G11" s="58">
        <f>E11+E17</f>
        <v>6285465</v>
      </c>
      <c r="H11" s="58">
        <f>'Anne-6'!G12+'Anne-8'!H12</f>
        <v>19372211</v>
      </c>
      <c r="I11" s="58">
        <f>'Anne-6'!S12+'Anne-7'!I12+'Anne-8'!I12</f>
        <v>9543732</v>
      </c>
      <c r="J11" s="58">
        <f>'Anne-6'!I12+'Anne-8'!M12</f>
        <v>6769409</v>
      </c>
      <c r="K11" s="58">
        <f>'Anne-7'!J12+'Anne-8'!J12</f>
        <v>3656674</v>
      </c>
      <c r="L11" s="58">
        <f>'Anne-6'!N12</f>
        <v>6040383</v>
      </c>
      <c r="M11" s="58">
        <f>'Anne-6'!K12</f>
        <v>4659654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4349864</v>
      </c>
      <c r="R11" s="58">
        <f>'Anne-6'!W12</f>
        <v>18596</v>
      </c>
      <c r="S11" s="58">
        <f t="shared" si="6"/>
        <v>54410523</v>
      </c>
      <c r="T11" s="58">
        <f t="shared" si="7"/>
        <v>60695988</v>
      </c>
      <c r="U11" s="151">
        <f t="shared" si="0"/>
        <v>25.416025124204033</v>
      </c>
      <c r="V11" s="151">
        <f t="shared" si="1"/>
        <v>1.6220378761857552</v>
      </c>
      <c r="W11" s="151">
        <f t="shared" si="2"/>
        <v>4.125130271904419</v>
      </c>
      <c r="X11" s="151">
        <f>G11/(AA11*1000)*100</f>
        <v>4.434951069033058</v>
      </c>
      <c r="Y11" s="151">
        <f t="shared" si="8"/>
        <v>42.82638386604931</v>
      </c>
      <c r="Z11" s="152">
        <f>G11/T11*100</f>
        <v>10.355651513572857</v>
      </c>
      <c r="AA11" s="58">
        <f>AB11+AB17</f>
        <v>141725.68991545617</v>
      </c>
      <c r="AB11" s="58">
        <f t="shared" si="3"/>
        <v>107693.81103567083</v>
      </c>
      <c r="AC11" s="58">
        <f>'Anne-4'!Z11</f>
        <v>11329.230223564224</v>
      </c>
      <c r="AD11" s="58">
        <f>'Anne-4'!AA11</f>
        <v>96364.58081210661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1209175</v>
      </c>
      <c r="D12" s="60">
        <f>'Anne-8'!S13+'Anne-7'!R13+'Anne-7'!U13+'Anne-6'!AD13</f>
        <v>649913</v>
      </c>
      <c r="E12" s="58">
        <f t="shared" si="5"/>
        <v>1859088</v>
      </c>
      <c r="F12" s="58"/>
      <c r="G12" s="379" t="s">
        <v>196</v>
      </c>
      <c r="H12" s="379" t="s">
        <v>196</v>
      </c>
      <c r="I12" s="379" t="s">
        <v>196</v>
      </c>
      <c r="J12" s="379" t="s">
        <v>196</v>
      </c>
      <c r="K12" s="379" t="s">
        <v>196</v>
      </c>
      <c r="L12" s="379" t="s">
        <v>196</v>
      </c>
      <c r="M12" s="379" t="s">
        <v>196</v>
      </c>
      <c r="N12" s="379" t="s">
        <v>196</v>
      </c>
      <c r="O12" s="379" t="s">
        <v>196</v>
      </c>
      <c r="P12" s="379" t="s">
        <v>196</v>
      </c>
      <c r="Q12" s="379" t="s">
        <v>196</v>
      </c>
      <c r="R12" s="379" t="s">
        <v>196</v>
      </c>
      <c r="S12" s="379" t="s">
        <v>196</v>
      </c>
      <c r="T12" s="379" t="s">
        <v>196</v>
      </c>
      <c r="U12" s="151">
        <f t="shared" si="0"/>
        <v>19.85716962423058</v>
      </c>
      <c r="V12" s="151">
        <f t="shared" si="1"/>
        <v>3.2033644277858637</v>
      </c>
      <c r="W12" s="151">
        <f t="shared" si="2"/>
        <v>7.047923299089781</v>
      </c>
      <c r="X12" s="151"/>
      <c r="Y12" s="151"/>
      <c r="Z12" s="152"/>
      <c r="AA12" s="58"/>
      <c r="AB12" s="58">
        <f t="shared" si="3"/>
        <v>26377.812599636203</v>
      </c>
      <c r="AC12" s="58">
        <f>'Anne-4'!Z12</f>
        <v>6089.3622952412725</v>
      </c>
      <c r="AD12" s="58">
        <f>'Anne-4'!AA12</f>
        <v>20288.45030439493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3963997</v>
      </c>
      <c r="D13" s="60">
        <f>'Anne-8'!S14+'Anne-7'!R14+'Anne-7'!U14+'Anne-6'!AD14</f>
        <v>1900752</v>
      </c>
      <c r="E13" s="58">
        <f t="shared" si="5"/>
        <v>5864749</v>
      </c>
      <c r="F13" s="58"/>
      <c r="G13" s="58">
        <f>E13</f>
        <v>5864749</v>
      </c>
      <c r="H13" s="58">
        <f>'Anne-6'!G14+'Anne-8'!H14</f>
        <v>7166043</v>
      </c>
      <c r="I13" s="58">
        <f>'Anne-6'!S14+'Anne-7'!I14+'Anne-8'!I14</f>
        <v>7120861</v>
      </c>
      <c r="J13" s="58">
        <f>'Anne-6'!I14+'Anne-8'!M14</f>
        <v>16062086</v>
      </c>
      <c r="K13" s="58">
        <f>'Anne-7'!J14+'Anne-8'!J14</f>
        <v>2862764</v>
      </c>
      <c r="L13" s="58">
        <f>'Anne-6'!N14</f>
        <v>8510202</v>
      </c>
      <c r="M13" s="58">
        <f>'Anne-6'!K14</f>
        <v>185773</v>
      </c>
      <c r="N13" s="217">
        <f>'Anne-6'!X14</f>
        <v>0</v>
      </c>
      <c r="O13" s="58"/>
      <c r="P13" s="58">
        <f>'Anne-7'!L14+'Anne-8'!L14</f>
        <v>211480</v>
      </c>
      <c r="Q13" s="58">
        <f>'Anne-4'!O13</f>
        <v>4947807</v>
      </c>
      <c r="R13" s="58">
        <f>'Anne-6'!W14</f>
        <v>553599</v>
      </c>
      <c r="S13" s="58">
        <f t="shared" si="6"/>
        <v>47620615</v>
      </c>
      <c r="T13" s="58">
        <f t="shared" si="7"/>
        <v>53485364</v>
      </c>
      <c r="U13" s="151">
        <f t="shared" si="0"/>
        <v>15.702749673126728</v>
      </c>
      <c r="V13" s="151">
        <f t="shared" si="1"/>
        <v>5.086102291521179</v>
      </c>
      <c r="W13" s="151">
        <f t="shared" si="2"/>
        <v>9.36629649274992</v>
      </c>
      <c r="X13" s="151">
        <f>G13/(AA13*1000)*100</f>
        <v>9.36629649274992</v>
      </c>
      <c r="Y13" s="151">
        <f t="shared" si="8"/>
        <v>85.41879238935081</v>
      </c>
      <c r="Z13" s="152">
        <f>G13/T13*100</f>
        <v>10.965147399950387</v>
      </c>
      <c r="AA13" s="58">
        <f>AB13</f>
        <v>62615.45323212511</v>
      </c>
      <c r="AB13" s="58">
        <f t="shared" si="3"/>
        <v>62615.45323212511</v>
      </c>
      <c r="AC13" s="58">
        <f>'Anne-4'!Z13</f>
        <v>25243.967346584403</v>
      </c>
      <c r="AD13" s="58">
        <f>'Anne-4'!AA13</f>
        <v>37371.48588554071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1738270</v>
      </c>
      <c r="D14" s="60">
        <f>'Anne-8'!S15+'Anne-7'!R15+'Anne-7'!U15+'Anne-6'!AD15</f>
        <v>1876038</v>
      </c>
      <c r="E14" s="58">
        <f t="shared" si="5"/>
        <v>3614308</v>
      </c>
      <c r="F14" s="58"/>
      <c r="G14" s="58">
        <f>E14</f>
        <v>3614308</v>
      </c>
      <c r="H14" s="58">
        <f>'Anne-6'!G15+'Anne-8'!H15</f>
        <v>2357702</v>
      </c>
      <c r="I14" s="58">
        <f>'Anne-6'!S15+'Anne-7'!I15+'Anne-8'!I15</f>
        <v>2277563</v>
      </c>
      <c r="J14" s="58">
        <f>'Anne-6'!I15+'Anne-8'!M15</f>
        <v>4633056</v>
      </c>
      <c r="K14" s="58">
        <f>'Anne-7'!J15+'Anne-8'!J15</f>
        <v>2668283</v>
      </c>
      <c r="L14" s="58">
        <f>'Anne-6'!N15</f>
        <v>3782688</v>
      </c>
      <c r="M14" s="58">
        <f>'Anne-6'!K15</f>
        <v>36092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734371</v>
      </c>
      <c r="S14" s="58">
        <f t="shared" si="6"/>
        <v>16489755</v>
      </c>
      <c r="T14" s="58">
        <f t="shared" si="7"/>
        <v>20104063</v>
      </c>
      <c r="U14" s="151">
        <f t="shared" si="0"/>
        <v>19.835200742418085</v>
      </c>
      <c r="V14" s="151">
        <f t="shared" si="1"/>
        <v>10.848811206288618</v>
      </c>
      <c r="W14" s="151">
        <f t="shared" si="2"/>
        <v>13.871239323397136</v>
      </c>
      <c r="X14" s="151">
        <f>G14/(AA14*1000)*100</f>
        <v>13.871239323397136</v>
      </c>
      <c r="Y14" s="151">
        <f t="shared" si="8"/>
        <v>77.15675289589414</v>
      </c>
      <c r="Z14" s="152">
        <f>G14/T14*100</f>
        <v>17.97799778084659</v>
      </c>
      <c r="AA14" s="58">
        <f>AB14</f>
        <v>26056.128913467826</v>
      </c>
      <c r="AB14" s="58">
        <f t="shared" si="3"/>
        <v>26056.128913467826</v>
      </c>
      <c r="AC14" s="58">
        <f>'Anne-4'!Z14</f>
        <v>8763.561420796035</v>
      </c>
      <c r="AD14" s="58">
        <f>'Anne-4'!AA14</f>
        <v>17292.56749267179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88" customFormat="1" ht="14.25">
      <c r="A15" s="383">
        <v>8</v>
      </c>
      <c r="B15" s="384" t="s">
        <v>28</v>
      </c>
      <c r="C15" s="86">
        <f>'Anne-8'!R16+'Anne-7'!Q16+'Anne-7'!T16+'Anne-6'!AC16</f>
        <v>677397</v>
      </c>
      <c r="D15" s="86">
        <f>'Anne-8'!S16+'Anne-7'!R16+'Anne-7'!U16+'Anne-6'!AD16</f>
        <v>1230707</v>
      </c>
      <c r="E15" s="86">
        <f t="shared" si="5"/>
        <v>1908104</v>
      </c>
      <c r="F15" s="86"/>
      <c r="G15" s="86">
        <f>E15</f>
        <v>1908104</v>
      </c>
      <c r="H15" s="86">
        <f>'Anne-6'!G16+'Anne-8'!H16</f>
        <v>1978395</v>
      </c>
      <c r="I15" s="86">
        <f>'Anne-6'!S16+'Anne-7'!I16+'Anne-8'!I16</f>
        <v>1545770</v>
      </c>
      <c r="J15" s="58">
        <f>'Anne-6'!I16+'Anne-8'!M16</f>
        <v>497021</v>
      </c>
      <c r="K15" s="86">
        <f>'Anne-7'!J16+'Anne-8'!J16</f>
        <v>179755</v>
      </c>
      <c r="L15" s="86">
        <f>'Anne-6'!N16</f>
        <v>472124</v>
      </c>
      <c r="M15" s="86">
        <f>'Anne-6'!K16</f>
        <v>714843</v>
      </c>
      <c r="N15" s="385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5387908</v>
      </c>
      <c r="T15" s="86">
        <f t="shared" si="7"/>
        <v>7296012</v>
      </c>
      <c r="U15" s="386">
        <f t="shared" si="0"/>
        <v>88.21460689146656</v>
      </c>
      <c r="V15" s="386">
        <f t="shared" si="1"/>
        <v>19.89118122110566</v>
      </c>
      <c r="W15" s="386">
        <f t="shared" si="2"/>
        <v>27.434618473096045</v>
      </c>
      <c r="X15" s="386">
        <f>G15/(AA15*1000)*100</f>
        <v>27.434618473096045</v>
      </c>
      <c r="Y15" s="386">
        <f t="shared" si="8"/>
        <v>104.9016749585612</v>
      </c>
      <c r="Z15" s="387">
        <f>G15/T15*100</f>
        <v>26.1526982137639</v>
      </c>
      <c r="AA15" s="86">
        <f>AB15</f>
        <v>6955.095810321532</v>
      </c>
      <c r="AB15" s="86">
        <f t="shared" si="3"/>
        <v>6955.095810321532</v>
      </c>
      <c r="AC15" s="86">
        <f>'Anne-4'!Z15</f>
        <v>767.8966373827687</v>
      </c>
      <c r="AD15" s="86">
        <f>'Anne-4'!AA15</f>
        <v>6187.199172938763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1187690</v>
      </c>
      <c r="D16" s="60">
        <f>'Anne-8'!S17+'Anne-7'!R17+'Anne-7'!U17+'Anne-6'!AD17</f>
        <v>168624</v>
      </c>
      <c r="E16" s="58">
        <f t="shared" si="5"/>
        <v>1356314</v>
      </c>
      <c r="F16" s="58"/>
      <c r="G16" s="58">
        <f>E16</f>
        <v>1356314</v>
      </c>
      <c r="H16" s="58">
        <f>'Anne-6'!G17+'Anne-8'!H17</f>
        <v>2382558</v>
      </c>
      <c r="I16" s="58">
        <f>'Anne-6'!S17+'Anne-7'!I17+'Anne-8'!I17</f>
        <v>624913</v>
      </c>
      <c r="J16" s="58">
        <f>'Anne-6'!I17+'Anne-8'!M17</f>
        <v>625770</v>
      </c>
      <c r="K16" s="58">
        <f>'Anne-7'!J17+'Anne-8'!J17</f>
        <v>0</v>
      </c>
      <c r="L16" s="58">
        <f>'Anne-6'!N17</f>
        <v>224253</v>
      </c>
      <c r="M16" s="58">
        <f>'Anne-6'!K17</f>
        <v>1827610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5685104</v>
      </c>
      <c r="T16" s="58">
        <f t="shared" si="7"/>
        <v>7041418</v>
      </c>
      <c r="U16" s="151">
        <f t="shared" si="0"/>
        <v>34.09613081591512</v>
      </c>
      <c r="V16" s="151">
        <f t="shared" si="1"/>
        <v>1.7743187348265945</v>
      </c>
      <c r="W16" s="151">
        <f t="shared" si="2"/>
        <v>10.443669764939353</v>
      </c>
      <c r="X16" s="151">
        <f>G16/(AA16*1000)*100</f>
        <v>10.443669764939353</v>
      </c>
      <c r="Y16" s="151">
        <f t="shared" si="8"/>
        <v>54.21918838034535</v>
      </c>
      <c r="Z16" s="152">
        <f>G16/T16*100</f>
        <v>19.261944114097474</v>
      </c>
      <c r="AA16" s="58">
        <f>AB16</f>
        <v>12986.948367070243</v>
      </c>
      <c r="AB16" s="58">
        <f t="shared" si="3"/>
        <v>12986.948367070243</v>
      </c>
      <c r="AC16" s="58">
        <f>'Anne-4'!Z16</f>
        <v>3483.3571187661555</v>
      </c>
      <c r="AD16" s="58">
        <f>'Anne-4'!AA16</f>
        <v>9503.591248304087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1299652</v>
      </c>
      <c r="D17" s="60">
        <f>'Anne-8'!S18+'Anne-7'!R18+'Anne-7'!U18+'Anne-6'!AD18</f>
        <v>543303</v>
      </c>
      <c r="E17" s="58">
        <f t="shared" si="5"/>
        <v>1842955</v>
      </c>
      <c r="F17" s="58"/>
      <c r="G17" s="379" t="s">
        <v>196</v>
      </c>
      <c r="H17" s="379" t="s">
        <v>196</v>
      </c>
      <c r="I17" s="379" t="s">
        <v>196</v>
      </c>
      <c r="J17" s="379" t="s">
        <v>196</v>
      </c>
      <c r="K17" s="379" t="s">
        <v>196</v>
      </c>
      <c r="L17" s="379" t="s">
        <v>196</v>
      </c>
      <c r="M17" s="379" t="s">
        <v>196</v>
      </c>
      <c r="N17" s="379" t="s">
        <v>196</v>
      </c>
      <c r="O17" s="379" t="s">
        <v>196</v>
      </c>
      <c r="P17" s="379" t="s">
        <v>196</v>
      </c>
      <c r="Q17" s="379" t="s">
        <v>196</v>
      </c>
      <c r="R17" s="379" t="s">
        <v>196</v>
      </c>
      <c r="S17" s="379" t="s">
        <v>196</v>
      </c>
      <c r="T17" s="379" t="s">
        <v>196</v>
      </c>
      <c r="U17" s="151">
        <f t="shared" si="0"/>
        <v>16.39689140877362</v>
      </c>
      <c r="V17" s="151">
        <f t="shared" si="1"/>
        <v>2.0811686404048757</v>
      </c>
      <c r="W17" s="151">
        <f t="shared" si="2"/>
        <v>5.415378347196401</v>
      </c>
      <c r="X17" s="151"/>
      <c r="Y17" s="151"/>
      <c r="Z17" s="152"/>
      <c r="AA17" s="58"/>
      <c r="AB17" s="58">
        <f t="shared" si="3"/>
        <v>34031.87887978533</v>
      </c>
      <c r="AC17" s="58">
        <f>'Anne-4'!Z17</f>
        <v>7926.209716218432</v>
      </c>
      <c r="AD17" s="58">
        <f>'Anne-4'!AA17</f>
        <v>26105.669163566894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6844907</v>
      </c>
      <c r="D18" s="60">
        <f>'Anne-8'!S19+'Anne-7'!R19+'Anne-7'!U19+'Anne-6'!AD19</f>
        <v>1973349</v>
      </c>
      <c r="E18" s="58">
        <f t="shared" si="5"/>
        <v>8818256</v>
      </c>
      <c r="F18" s="58"/>
      <c r="G18" s="58">
        <f>E18</f>
        <v>8818256</v>
      </c>
      <c r="H18" s="58">
        <f>'Anne-6'!G19+'Anne-8'!H19</f>
        <v>16722611</v>
      </c>
      <c r="I18" s="58">
        <f>'Anne-6'!S19+'Anne-7'!I19+'Anne-8'!I19</f>
        <v>6906310</v>
      </c>
      <c r="J18" s="58">
        <f>'Anne-6'!I19+'Anne-8'!M19</f>
        <v>6841695</v>
      </c>
      <c r="K18" s="58">
        <f>'Anne-7'!J19+'Anne-8'!J19</f>
        <v>6112503</v>
      </c>
      <c r="L18" s="58">
        <f>'Anne-6'!N19</f>
        <v>6245950</v>
      </c>
      <c r="M18" s="58">
        <f>'Anne-6'!K19</f>
        <v>1683304</v>
      </c>
      <c r="N18" s="217">
        <f>'Anne-6'!X19</f>
        <v>0</v>
      </c>
      <c r="O18" s="58"/>
      <c r="P18" s="58">
        <f>'Anne-7'!L19+'Anne-8'!L19</f>
        <v>2027374</v>
      </c>
      <c r="Q18" s="58">
        <f>'Anne-4'!O18</f>
        <v>0</v>
      </c>
      <c r="R18" s="58">
        <f>'Anne-6'!W19</f>
        <v>0</v>
      </c>
      <c r="S18" s="58">
        <f t="shared" si="6"/>
        <v>46539747</v>
      </c>
      <c r="T18" s="58">
        <f t="shared" si="7"/>
        <v>55358003</v>
      </c>
      <c r="U18" s="151">
        <f t="shared" si="0"/>
        <v>29.524371140056278</v>
      </c>
      <c r="V18" s="151">
        <f t="shared" si="1"/>
        <v>5.039839446407089</v>
      </c>
      <c r="W18" s="151">
        <f t="shared" si="2"/>
        <v>14.145667234930274</v>
      </c>
      <c r="X18" s="151">
        <f>G18/(AA18*1000)*100</f>
        <v>14.145667234930274</v>
      </c>
      <c r="Y18" s="151">
        <f t="shared" si="8"/>
        <v>88.80167339531442</v>
      </c>
      <c r="Z18" s="152">
        <f>G18/T18*100</f>
        <v>15.9295052605131</v>
      </c>
      <c r="AA18" s="58">
        <f>AB18</f>
        <v>62338.91872010706</v>
      </c>
      <c r="AB18" s="58">
        <f t="shared" si="3"/>
        <v>62338.91872010706</v>
      </c>
      <c r="AC18" s="58">
        <f>'Anne-4'!Z18</f>
        <v>23183.921403539684</v>
      </c>
      <c r="AD18" s="58">
        <f>'Anne-4'!AA18</f>
        <v>39154.99731656737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5377658</v>
      </c>
      <c r="D19" s="60">
        <f>'Anne-8'!S20+'Anne-7'!R20+'Anne-7'!U20+'Anne-6'!AD20</f>
        <v>5289003</v>
      </c>
      <c r="E19" s="58">
        <f t="shared" si="5"/>
        <v>10666661</v>
      </c>
      <c r="F19" s="58"/>
      <c r="G19" s="58">
        <f>E19</f>
        <v>10666661</v>
      </c>
      <c r="H19" s="58">
        <f>'Anne-6'!G20+'Anne-8'!H20</f>
        <v>3558308</v>
      </c>
      <c r="I19" s="58">
        <f>'Anne-6'!S20+'Anne-7'!I20+'Anne-8'!I20</f>
        <v>2994725</v>
      </c>
      <c r="J19" s="58">
        <f>'Anne-6'!I20+'Anne-8'!M20</f>
        <v>6202153</v>
      </c>
      <c r="K19" s="58">
        <f>'Anne-7'!J20+'Anne-8'!J20</f>
        <v>1829160</v>
      </c>
      <c r="L19" s="58">
        <f>'Anne-6'!N20</f>
        <v>7921428</v>
      </c>
      <c r="M19" s="58">
        <f>'Anne-6'!K20</f>
        <v>104883</v>
      </c>
      <c r="N19" s="217">
        <f>'Anne-6'!X20</f>
        <v>0</v>
      </c>
      <c r="O19" s="58"/>
      <c r="P19" s="58">
        <f>'Anne-7'!L20+'Anne-8'!L20</f>
        <v>480168</v>
      </c>
      <c r="Q19" s="58">
        <f>'Anne-4'!O19</f>
        <v>0</v>
      </c>
      <c r="R19" s="58">
        <f>'Anne-6'!W20</f>
        <v>0</v>
      </c>
      <c r="S19" s="58">
        <f t="shared" si="6"/>
        <v>23090825</v>
      </c>
      <c r="T19" s="58">
        <f t="shared" si="7"/>
        <v>33757486</v>
      </c>
      <c r="U19" s="151">
        <f t="shared" si="0"/>
        <v>62.95033215899358</v>
      </c>
      <c r="V19" s="151">
        <f t="shared" si="1"/>
        <v>21.249726239813228</v>
      </c>
      <c r="W19" s="151">
        <f t="shared" si="2"/>
        <v>31.905116493303957</v>
      </c>
      <c r="X19" s="151">
        <f>G19/(AA19*1000)*100</f>
        <v>31.905116493303957</v>
      </c>
      <c r="Y19" s="151">
        <f t="shared" si="8"/>
        <v>100.97222770565948</v>
      </c>
      <c r="Z19" s="152">
        <f>G19/T19*100</f>
        <v>31.597912830357096</v>
      </c>
      <c r="AA19" s="58">
        <f>AB19</f>
        <v>33432.44649251994</v>
      </c>
      <c r="AB19" s="58">
        <f t="shared" si="3"/>
        <v>33432.44649251994</v>
      </c>
      <c r="AC19" s="58">
        <f>'Anne-4'!Z19</f>
        <v>8542.699959735963</v>
      </c>
      <c r="AD19" s="58">
        <f>'Anne-4'!AA19</f>
        <v>24889.74653278398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2823163</v>
      </c>
      <c r="D20" s="60">
        <f>'Anne-8'!S21+'Anne-7'!R21+'Anne-7'!U21+'Anne-6'!AD21</f>
        <v>1397890</v>
      </c>
      <c r="E20" s="58">
        <f t="shared" si="5"/>
        <v>4221053</v>
      </c>
      <c r="F20" s="58"/>
      <c r="G20" s="58">
        <f>E20+E12</f>
        <v>6080141</v>
      </c>
      <c r="H20" s="58">
        <f>'Anne-6'!G21+'Anne-8'!H21</f>
        <v>10362018</v>
      </c>
      <c r="I20" s="58">
        <f>'Anne-6'!S21+'Anne-7'!I21+'Anne-8'!I21</f>
        <v>12289855</v>
      </c>
      <c r="J20" s="58">
        <f>'Anne-6'!I21+'Anne-8'!M21</f>
        <v>4308322</v>
      </c>
      <c r="K20" s="58">
        <f>'Anne-7'!J21+'Anne-8'!J21</f>
        <v>3903328</v>
      </c>
      <c r="L20" s="58">
        <f>'Anne-6'!N21</f>
        <v>15558619</v>
      </c>
      <c r="M20" s="58">
        <f>'Anne-6'!K21</f>
        <v>97694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684665</v>
      </c>
      <c r="S20" s="58">
        <f t="shared" si="6"/>
        <v>47204501</v>
      </c>
      <c r="T20" s="58">
        <f t="shared" si="7"/>
        <v>53284642</v>
      </c>
      <c r="U20" s="151">
        <f t="shared" si="0"/>
        <v>13.659281842360398</v>
      </c>
      <c r="V20" s="151">
        <f t="shared" si="1"/>
        <v>2.5888317665146596</v>
      </c>
      <c r="W20" s="151">
        <f t="shared" si="2"/>
        <v>5.653291811055559</v>
      </c>
      <c r="X20" s="151">
        <f>G20/(AA20*1000)*100</f>
        <v>6.017367009469346</v>
      </c>
      <c r="Y20" s="151">
        <f t="shared" si="8"/>
        <v>52.734508440212934</v>
      </c>
      <c r="Z20" s="152">
        <f>G20/T20*100</f>
        <v>11.41068189967383</v>
      </c>
      <c r="AA20" s="58">
        <f>AB20+AB12</f>
        <v>101043.21359212208</v>
      </c>
      <c r="AB20" s="58">
        <f t="shared" si="3"/>
        <v>74665.40099248587</v>
      </c>
      <c r="AC20" s="58">
        <f>'Anne-4'!Z20</f>
        <v>20668.45850742137</v>
      </c>
      <c r="AD20" s="58">
        <f>'Anne-4'!AA20</f>
        <v>53996.942485064494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5778446</v>
      </c>
      <c r="D21" s="60">
        <f>'Anne-8'!S22+'Anne-7'!R22+'Anne-7'!U22+'Anne-6'!AD22</f>
        <v>3143201</v>
      </c>
      <c r="E21" s="58">
        <f>C21+D21</f>
        <v>8921647</v>
      </c>
      <c r="F21" s="58"/>
      <c r="G21" s="58">
        <f>E21</f>
        <v>8921647</v>
      </c>
      <c r="H21" s="58">
        <f>'Anne-6'!G22+'Anne-8'!H22</f>
        <v>10162551</v>
      </c>
      <c r="I21" s="58">
        <f>'Anne-6'!S22+'Anne-7'!I22+'Anne-8'!I22</f>
        <v>8080398</v>
      </c>
      <c r="J21" s="58">
        <f>'Anne-6'!I22+'Anne-8'!M22</f>
        <v>13450517</v>
      </c>
      <c r="K21" s="58">
        <f>'Anne-7'!J22+'Anne-8'!J22</f>
        <v>6476266</v>
      </c>
      <c r="L21" s="58">
        <f>'Anne-6'!N22</f>
        <v>16386735</v>
      </c>
      <c r="M21" s="58">
        <f>'Anne-6'!K22</f>
        <v>1189688</v>
      </c>
      <c r="N21" s="217">
        <f>'Anne-6'!X22</f>
        <v>0</v>
      </c>
      <c r="O21" s="58"/>
      <c r="P21" s="58">
        <f>'Anne-7'!L22+'Anne-8'!L22</f>
        <v>616917</v>
      </c>
      <c r="Q21" s="58">
        <f>'Anne-4'!O21</f>
        <v>5582082</v>
      </c>
      <c r="R21" s="58">
        <f>'Anne-6'!W22</f>
        <v>0</v>
      </c>
      <c r="S21" s="58">
        <f t="shared" si="6"/>
        <v>61945154</v>
      </c>
      <c r="T21" s="58">
        <f t="shared" si="7"/>
        <v>70866801</v>
      </c>
      <c r="U21" s="151">
        <f t="shared" si="0"/>
        <v>18.23769956739138</v>
      </c>
      <c r="V21" s="151">
        <f t="shared" si="1"/>
        <v>5.216428167769009</v>
      </c>
      <c r="W21" s="151">
        <f t="shared" si="2"/>
        <v>9.703783404205168</v>
      </c>
      <c r="X21" s="151">
        <f>G21/(AA21*1000)*100</f>
        <v>9.703783404205168</v>
      </c>
      <c r="Y21" s="151">
        <f t="shared" si="8"/>
        <v>77.07949972162204</v>
      </c>
      <c r="Z21" s="152">
        <f>G21/T21*100</f>
        <v>12.589318092684895</v>
      </c>
      <c r="AA21" s="58">
        <f>AB21</f>
        <v>91939.88188291356</v>
      </c>
      <c r="AB21" s="58">
        <f t="shared" si="3"/>
        <v>91939.88188291356</v>
      </c>
      <c r="AC21" s="58">
        <f>'Anne-4'!Z21</f>
        <v>31684.072756257803</v>
      </c>
      <c r="AD21" s="58">
        <f>'Anne-4'!AA21</f>
        <v>60255.80912665575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716955</v>
      </c>
      <c r="D22" s="60">
        <f>'Anne-8'!S23+'Anne-7'!R23+'Anne-7'!U23+'Anne-6'!AD23</f>
        <v>358833</v>
      </c>
      <c r="E22" s="58">
        <f t="shared" si="5"/>
        <v>1075788</v>
      </c>
      <c r="F22" s="58"/>
      <c r="G22" s="58">
        <f>E22+E23</f>
        <v>1946482</v>
      </c>
      <c r="H22" s="58">
        <f>'Anne-6'!G23+'Anne-8'!H23</f>
        <v>2730003</v>
      </c>
      <c r="I22" s="58">
        <f>'Anne-6'!S23+'Anne-7'!I23+'Anne-8'!I23</f>
        <v>857127</v>
      </c>
      <c r="J22" s="58">
        <f>'Anne-6'!I23+'Anne-8'!M23</f>
        <v>997941</v>
      </c>
      <c r="K22" s="58">
        <f>'Anne-7'!J23+'Anne-8'!J23</f>
        <v>0</v>
      </c>
      <c r="L22" s="58">
        <f>'Anne-6'!N23</f>
        <v>294709</v>
      </c>
      <c r="M22" s="58">
        <f>'Anne-6'!K23</f>
        <v>2324164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7203944</v>
      </c>
      <c r="T22" s="58">
        <f t="shared" si="7"/>
        <v>9150426</v>
      </c>
      <c r="U22" s="151">
        <f t="shared" si="0"/>
        <v>37.05959956242449</v>
      </c>
      <c r="V22" s="151">
        <f t="shared" si="1"/>
        <v>5.960463021991952</v>
      </c>
      <c r="W22" s="151">
        <f t="shared" si="2"/>
        <v>13.523724926107636</v>
      </c>
      <c r="X22" s="151">
        <f>G22/(AA22*1000)*100</f>
        <v>13.764015360518686</v>
      </c>
      <c r="Y22" s="151">
        <f t="shared" si="8"/>
        <v>64.70473604137597</v>
      </c>
      <c r="Z22" s="152">
        <f>G22/T22*100</f>
        <v>21.272036952159386</v>
      </c>
      <c r="AA22" s="58">
        <f>AB22+AB23</f>
        <v>14141.817987092454</v>
      </c>
      <c r="AB22" s="58">
        <f t="shared" si="3"/>
        <v>7954.8201836254775</v>
      </c>
      <c r="AC22" s="58">
        <f>'Anne-4'!Z22</f>
        <v>1934.5999645579977</v>
      </c>
      <c r="AD22" s="58">
        <f>'Anne-4'!AA22</f>
        <v>6020.22021906748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518331</v>
      </c>
      <c r="D23" s="60">
        <f>'Anne-8'!S24+'Anne-7'!R24+'Anne-7'!U24+'Anne-6'!AD24</f>
        <v>352363</v>
      </c>
      <c r="E23" s="58">
        <f t="shared" si="5"/>
        <v>870694</v>
      </c>
      <c r="F23" s="58"/>
      <c r="G23" s="379" t="s">
        <v>196</v>
      </c>
      <c r="H23" s="379" t="s">
        <v>196</v>
      </c>
      <c r="I23" s="379" t="s">
        <v>196</v>
      </c>
      <c r="J23" s="379" t="s">
        <v>196</v>
      </c>
      <c r="K23" s="379" t="s">
        <v>196</v>
      </c>
      <c r="L23" s="379" t="s">
        <v>196</v>
      </c>
      <c r="M23" s="379" t="s">
        <v>196</v>
      </c>
      <c r="N23" s="379" t="s">
        <v>196</v>
      </c>
      <c r="O23" s="379" t="s">
        <v>196</v>
      </c>
      <c r="P23" s="379" t="s">
        <v>196</v>
      </c>
      <c r="Q23" s="379" t="s">
        <v>196</v>
      </c>
      <c r="R23" s="379" t="s">
        <v>196</v>
      </c>
      <c r="S23" s="379" t="s">
        <v>196</v>
      </c>
      <c r="T23" s="379" t="s">
        <v>196</v>
      </c>
      <c r="U23" s="151">
        <f t="shared" si="0"/>
        <v>35.23756178305206</v>
      </c>
      <c r="V23" s="151">
        <f t="shared" si="1"/>
        <v>7.471592334015946</v>
      </c>
      <c r="W23" s="151">
        <f t="shared" si="2"/>
        <v>14.072964427304202</v>
      </c>
      <c r="X23" s="151"/>
      <c r="Y23" s="151"/>
      <c r="Z23" s="152"/>
      <c r="AA23" s="58"/>
      <c r="AB23" s="58">
        <f t="shared" si="3"/>
        <v>6186.997803466977</v>
      </c>
      <c r="AC23" s="58">
        <f>'Anne-4'!Z23</f>
        <v>1470.9615926074027</v>
      </c>
      <c r="AD23" s="58">
        <f>'Anne-4'!AA23</f>
        <v>4716.036210859574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2922848</v>
      </c>
      <c r="D24" s="60">
        <f>'Anne-8'!S25+'Anne-7'!R25+'Anne-7'!U25+'Anne-6'!AD25</f>
        <v>1954646</v>
      </c>
      <c r="E24" s="58">
        <f t="shared" si="5"/>
        <v>4877494</v>
      </c>
      <c r="F24" s="58"/>
      <c r="G24" s="58">
        <f>E24</f>
        <v>4877494</v>
      </c>
      <c r="H24" s="58">
        <f>'Anne-6'!G25+'Anne-8'!H25</f>
        <v>6929384</v>
      </c>
      <c r="I24" s="58">
        <f>'Anne-6'!S25+'Anne-7'!I25+'Anne-8'!I25</f>
        <v>4000427</v>
      </c>
      <c r="J24" s="58">
        <f>'Anne-6'!I25+'Anne-8'!M25</f>
        <v>3048444</v>
      </c>
      <c r="K24" s="58">
        <f>'Anne-7'!J25+'Anne-8'!J25</f>
        <v>2093676</v>
      </c>
      <c r="L24" s="58">
        <f>'Anne-6'!N25</f>
        <v>1096141</v>
      </c>
      <c r="M24" s="58">
        <f>'Anne-6'!K25</f>
        <v>2930796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20098868</v>
      </c>
      <c r="T24" s="58">
        <f t="shared" si="7"/>
        <v>24976362</v>
      </c>
      <c r="U24" s="151">
        <f t="shared" si="0"/>
        <v>40.88340433549017</v>
      </c>
      <c r="V24" s="151">
        <f t="shared" si="1"/>
        <v>5.507145593156879</v>
      </c>
      <c r="W24" s="151">
        <f t="shared" si="2"/>
        <v>11.43820325518438</v>
      </c>
      <c r="X24" s="151">
        <f>G24/(AA24*1000)*100</f>
        <v>11.43820325518438</v>
      </c>
      <c r="Y24" s="151">
        <f t="shared" si="8"/>
        <v>58.572025948379114</v>
      </c>
      <c r="Z24" s="152">
        <f>G24/T24*100</f>
        <v>19.528440531090958</v>
      </c>
      <c r="AA24" s="58">
        <f>AB24</f>
        <v>42642.134356104136</v>
      </c>
      <c r="AB24" s="58">
        <f t="shared" si="3"/>
        <v>42642.134356104136</v>
      </c>
      <c r="AC24" s="58">
        <f>'Anne-4'!Z24</f>
        <v>7149.2285133963915</v>
      </c>
      <c r="AD24" s="58">
        <f>'Anne-4'!AA24</f>
        <v>35492.90584270775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3284026</v>
      </c>
      <c r="D25" s="60">
        <f>'Anne-8'!S26+'Anne-7'!R26+'Anne-7'!U26+'Anne-6'!AD26</f>
        <v>2131943</v>
      </c>
      <c r="E25" s="58">
        <f t="shared" si="5"/>
        <v>5415969</v>
      </c>
      <c r="F25" s="58"/>
      <c r="G25" s="58">
        <f>E25</f>
        <v>5415969</v>
      </c>
      <c r="H25" s="58">
        <f>'Anne-6'!G26+'Anne-8'!H26</f>
        <v>7129905</v>
      </c>
      <c r="I25" s="58">
        <f>'Anne-6'!S26+'Anne-7'!I26+'Anne-8'!I26</f>
        <v>3073583</v>
      </c>
      <c r="J25" s="58">
        <f>'Anne-6'!I26+'Anne-8'!M26</f>
        <v>4448499</v>
      </c>
      <c r="K25" s="58">
        <f>'Anne-7'!J26+'Anne-8'!J26</f>
        <v>2430367</v>
      </c>
      <c r="L25" s="58">
        <f>'Anne-6'!N26</f>
        <v>5791458</v>
      </c>
      <c r="M25" s="58">
        <f>'Anne-6'!K26</f>
        <v>939369</v>
      </c>
      <c r="N25" s="217">
        <f>'Anne-6'!X26</f>
        <v>0</v>
      </c>
      <c r="O25" s="58">
        <f>'Anne-7'!K26+'Anne-8'!K26</f>
        <v>1555300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25368481</v>
      </c>
      <c r="T25" s="58">
        <f t="shared" si="7"/>
        <v>30784450</v>
      </c>
      <c r="U25" s="151">
        <f t="shared" si="0"/>
        <v>27.322783721048616</v>
      </c>
      <c r="V25" s="151">
        <f t="shared" si="1"/>
        <v>12.388254080742453</v>
      </c>
      <c r="W25" s="151">
        <f t="shared" si="2"/>
        <v>18.529589545208232</v>
      </c>
      <c r="X25" s="151">
        <f>G25/(AA25*1000)*100</f>
        <v>18.529589545208232</v>
      </c>
      <c r="Y25" s="151">
        <f t="shared" si="8"/>
        <v>105.32246821851925</v>
      </c>
      <c r="Z25" s="152">
        <f>G25/T25*100</f>
        <v>17.593197214827615</v>
      </c>
      <c r="AA25" s="58">
        <f>AB25</f>
        <v>29228.75861219805</v>
      </c>
      <c r="AB25" s="58">
        <f t="shared" si="3"/>
        <v>29228.75861219805</v>
      </c>
      <c r="AC25" s="58">
        <f>'Anne-4'!Z25</f>
        <v>12019.36828080255</v>
      </c>
      <c r="AD25" s="58">
        <f>'Anne-4'!AA25</f>
        <v>17209.390331395498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4655010</v>
      </c>
      <c r="D26" s="60">
        <f>'Anne-8'!S27+'Anne-7'!R27+'Anne-7'!U27+'Anne-6'!AD27</f>
        <v>2198658</v>
      </c>
      <c r="E26" s="58">
        <f t="shared" si="5"/>
        <v>6853668</v>
      </c>
      <c r="F26" s="58"/>
      <c r="G26" s="58">
        <f>E26</f>
        <v>6853668</v>
      </c>
      <c r="H26" s="58">
        <f>'Anne-6'!G27+'Anne-8'!H27</f>
        <v>14778523</v>
      </c>
      <c r="I26" s="58">
        <f>'Anne-6'!S27+'Anne-7'!I27+'Anne-8'!I27</f>
        <v>5732413</v>
      </c>
      <c r="J26" s="58">
        <f>'Anne-6'!I27+'Anne-8'!M27</f>
        <v>8962323</v>
      </c>
      <c r="K26" s="58">
        <f>'Anne-7'!J27+'Anne-8'!J27</f>
        <v>2902935</v>
      </c>
      <c r="L26" s="58">
        <f>'Anne-6'!N27</f>
        <v>5144489</v>
      </c>
      <c r="M26" s="58">
        <f>'Anne-6'!K27</f>
        <v>2965515</v>
      </c>
      <c r="N26" s="217">
        <f>'Anne-6'!X27</f>
        <v>0</v>
      </c>
      <c r="O26" s="58"/>
      <c r="P26" s="58">
        <f>'Anne-7'!L27+'Anne-8'!L27</f>
        <v>2272275</v>
      </c>
      <c r="Q26" s="58">
        <f>'Anne-4'!O26</f>
        <v>0</v>
      </c>
      <c r="R26" s="58">
        <f>'Anne-6'!W27</f>
        <v>0</v>
      </c>
      <c r="S26" s="58">
        <f t="shared" si="6"/>
        <v>42758473</v>
      </c>
      <c r="T26" s="58">
        <f t="shared" si="7"/>
        <v>49612141</v>
      </c>
      <c r="U26" s="151">
        <f t="shared" si="0"/>
        <v>27.533754186642685</v>
      </c>
      <c r="V26" s="151">
        <f t="shared" si="1"/>
        <v>4.085484002252677</v>
      </c>
      <c r="W26" s="151">
        <f t="shared" si="2"/>
        <v>9.690875437309202</v>
      </c>
      <c r="X26" s="151">
        <f>G26/(AA26*1000)*100</f>
        <v>9.690875437309202</v>
      </c>
      <c r="Y26" s="151">
        <f t="shared" si="8"/>
        <v>70.15003916285714</v>
      </c>
      <c r="Z26" s="152">
        <f>G26/T26*100</f>
        <v>13.814497544058824</v>
      </c>
      <c r="AA26" s="58">
        <f>AB26</f>
        <v>70722.89850733042</v>
      </c>
      <c r="AB26" s="58">
        <f t="shared" si="3"/>
        <v>70722.89850733042</v>
      </c>
      <c r="AC26" s="58">
        <f>'Anne-4'!Z26</f>
        <v>16906.557560023044</v>
      </c>
      <c r="AD26" s="58">
        <f>'Anne-4'!AA26</f>
        <v>53816.340947307384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8121684</v>
      </c>
      <c r="D27" s="60">
        <f>'Anne-8'!S28+'Anne-7'!R28+'Anne-7'!U28+'Anne-6'!AD28</f>
        <v>1489459</v>
      </c>
      <c r="E27" s="58">
        <f t="shared" si="5"/>
        <v>9611143</v>
      </c>
      <c r="F27" s="58"/>
      <c r="G27" s="58">
        <f>E27</f>
        <v>9611143</v>
      </c>
      <c r="H27" s="58">
        <f>'Anne-6'!G28+'Anne-8'!H28</f>
        <v>9960937</v>
      </c>
      <c r="I27" s="58">
        <f>'Anne-6'!S28+'Anne-7'!I28+'Anne-8'!I28</f>
        <v>6194555</v>
      </c>
      <c r="J27" s="58">
        <f>'Anne-6'!I28+'Anne-8'!M28</f>
        <v>10109189</v>
      </c>
      <c r="K27" s="58">
        <f>'Anne-7'!J28+'Anne-8'!J28</f>
        <v>3972253</v>
      </c>
      <c r="L27" s="58">
        <f>'Anne-6'!N28</f>
        <v>2308196</v>
      </c>
      <c r="M27" s="58">
        <f>'Anne-6'!K28</f>
        <v>17341782</v>
      </c>
      <c r="N27" s="217">
        <f>'Anne-6'!X28</f>
        <v>0</v>
      </c>
      <c r="O27" s="58"/>
      <c r="P27" s="58">
        <f>'Anne-7'!L28+'Anne-8'!L28</f>
        <v>1190437</v>
      </c>
      <c r="Q27" s="58">
        <f>'Anne-4'!O27</f>
        <v>0</v>
      </c>
      <c r="R27" s="58">
        <f>'Anne-6'!W28</f>
        <v>0</v>
      </c>
      <c r="S27" s="58">
        <f t="shared" si="6"/>
        <v>51077349</v>
      </c>
      <c r="T27" s="58">
        <f t="shared" si="7"/>
        <v>60688492</v>
      </c>
      <c r="U27" s="151">
        <f t="shared" si="0"/>
        <v>27.966018232536115</v>
      </c>
      <c r="V27" s="151">
        <f t="shared" si="1"/>
        <v>4.39477206277917</v>
      </c>
      <c r="W27" s="151">
        <f t="shared" si="2"/>
        <v>15.272055864957371</v>
      </c>
      <c r="X27" s="151">
        <f>G27/(AA27*1000)*100</f>
        <v>15.272055864957371</v>
      </c>
      <c r="Y27" s="151">
        <f t="shared" si="8"/>
        <v>96.43369578249106</v>
      </c>
      <c r="Z27" s="152">
        <f>G27/T27*100</f>
        <v>15.83684597073198</v>
      </c>
      <c r="AA27" s="58">
        <f>AB27</f>
        <v>62932.869582106054</v>
      </c>
      <c r="AB27" s="58">
        <f t="shared" si="3"/>
        <v>62932.869582106054</v>
      </c>
      <c r="AC27" s="58">
        <f>'Anne-4'!Z27</f>
        <v>29041.259762003236</v>
      </c>
      <c r="AD27" s="58">
        <f>'Anne-4'!AA27</f>
        <v>33891.609820102814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889092</v>
      </c>
      <c r="D28" s="60">
        <f>'Anne-8'!S29+'Anne-7'!R29+'Anne-7'!U29+'Anne-6'!AD29</f>
        <v>682564</v>
      </c>
      <c r="E28" s="58">
        <f t="shared" si="5"/>
        <v>1571656</v>
      </c>
      <c r="F28" s="58"/>
      <c r="G28" s="379" t="s">
        <v>196</v>
      </c>
      <c r="H28" s="379" t="s">
        <v>196</v>
      </c>
      <c r="I28" s="379" t="s">
        <v>196</v>
      </c>
      <c r="J28" s="379" t="s">
        <v>196</v>
      </c>
      <c r="K28" s="379" t="s">
        <v>196</v>
      </c>
      <c r="L28" s="379" t="s">
        <v>196</v>
      </c>
      <c r="M28" s="379" t="s">
        <v>196</v>
      </c>
      <c r="N28" s="379" t="s">
        <v>196</v>
      </c>
      <c r="O28" s="379" t="s">
        <v>196</v>
      </c>
      <c r="P28" s="379" t="s">
        <v>196</v>
      </c>
      <c r="Q28" s="379" t="s">
        <v>196</v>
      </c>
      <c r="R28" s="379" t="s">
        <v>196</v>
      </c>
      <c r="S28" s="379" t="s">
        <v>196</v>
      </c>
      <c r="T28" s="379" t="s">
        <v>196</v>
      </c>
      <c r="U28" s="151">
        <f t="shared" si="0"/>
        <v>30.190902184310918</v>
      </c>
      <c r="V28" s="151">
        <f t="shared" si="1"/>
        <v>9.176116767909956</v>
      </c>
      <c r="W28" s="151">
        <f t="shared" si="2"/>
        <v>15.136259066436624</v>
      </c>
      <c r="X28" s="151"/>
      <c r="Y28" s="151"/>
      <c r="Z28" s="152"/>
      <c r="AA28" s="58"/>
      <c r="AB28" s="58">
        <f t="shared" si="3"/>
        <v>10383.384646771898</v>
      </c>
      <c r="AC28" s="58">
        <f>'Anne-4'!Z28</f>
        <v>2944.900402684978</v>
      </c>
      <c r="AD28" s="58">
        <f>'Anne-4'!AA28</f>
        <v>7438.484244086921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7894673</v>
      </c>
      <c r="D29" s="60">
        <f>'Anne-8'!S30+'Anne-7'!R30+'Anne-7'!U30+'Anne-6'!AD30</f>
        <v>3483447</v>
      </c>
      <c r="E29" s="58">
        <f t="shared" si="5"/>
        <v>11378120</v>
      </c>
      <c r="F29" s="58"/>
      <c r="G29" s="58">
        <f>E29</f>
        <v>11378120</v>
      </c>
      <c r="H29" s="58">
        <f>'Anne-6'!G30+'Anne-8'!H30</f>
        <v>15288848</v>
      </c>
      <c r="I29" s="58">
        <f>'Anne-6'!S30+'Anne-7'!I30+'Anne-8'!I30</f>
        <v>9812335</v>
      </c>
      <c r="J29" s="58">
        <f>'Anne-6'!I30+'Anne-8'!M30</f>
        <v>14874907</v>
      </c>
      <c r="K29" s="58">
        <f>'Anne-7'!J30+'Anne-8'!J30</f>
        <v>4027142</v>
      </c>
      <c r="L29" s="58">
        <f>'Anne-6'!N30</f>
        <v>7411646</v>
      </c>
      <c r="M29" s="58">
        <f>'Anne-6'!K30</f>
        <v>3998723</v>
      </c>
      <c r="N29" s="217">
        <f>'Anne-6'!X30</f>
        <v>0</v>
      </c>
      <c r="O29" s="58"/>
      <c r="P29" s="58">
        <f>'Anne-7'!L30+'Anne-8'!L30</f>
        <v>520553</v>
      </c>
      <c r="Q29" s="58">
        <f>'Anne-4'!O29</f>
        <v>7545557</v>
      </c>
      <c r="R29" s="58">
        <f>'Anne-6'!W30</f>
        <v>14622</v>
      </c>
      <c r="S29" s="58">
        <f t="shared" si="6"/>
        <v>63494333</v>
      </c>
      <c r="T29" s="58">
        <f t="shared" si="7"/>
        <v>74872453</v>
      </c>
      <c r="U29" s="151">
        <f t="shared" si="0"/>
        <v>33.544880502169406</v>
      </c>
      <c r="V29" s="151">
        <f t="shared" si="1"/>
        <v>3.0212634086976036</v>
      </c>
      <c r="W29" s="151">
        <f t="shared" si="2"/>
        <v>8.19558260054886</v>
      </c>
      <c r="X29" s="151">
        <f aca="true" t="shared" si="9" ref="X29:X37">G29/(AA29*1000)*100</f>
        <v>8.19558260054886</v>
      </c>
      <c r="Y29" s="151">
        <f t="shared" si="8"/>
        <v>53.93011965660517</v>
      </c>
      <c r="Z29" s="152">
        <f aca="true" t="shared" si="10" ref="Z29:Z34">G29/T29*100</f>
        <v>15.196670529814217</v>
      </c>
      <c r="AA29" s="58">
        <f>AB29</f>
        <v>138832.35096963093</v>
      </c>
      <c r="AB29" s="58">
        <f t="shared" si="3"/>
        <v>138832.35096963093</v>
      </c>
      <c r="AC29" s="58">
        <f>'Anne-4'!Z29</f>
        <v>23534.658290076302</v>
      </c>
      <c r="AD29" s="58">
        <f>'Anne-4'!AA29</f>
        <v>115297.69267955465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3086704</v>
      </c>
      <c r="D30" s="60">
        <f>'Anne-8'!S31+'Anne-7'!R31+'Anne-7'!U31+'Anne-6'!AD31</f>
        <v>972965</v>
      </c>
      <c r="E30" s="58">
        <f t="shared" si="5"/>
        <v>4059669</v>
      </c>
      <c r="F30" s="58"/>
      <c r="G30" s="58">
        <f>E30+E28</f>
        <v>5631325</v>
      </c>
      <c r="H30" s="58">
        <f>'Anne-6'!G31+'Anne-8'!H31</f>
        <v>6649849</v>
      </c>
      <c r="I30" s="58">
        <f>'Anne-6'!S31+'Anne-7'!I31+'Anne-8'!I31</f>
        <v>6704534</v>
      </c>
      <c r="J30" s="58">
        <f>'Anne-6'!I31+'Anne-8'!M31</f>
        <v>9486550</v>
      </c>
      <c r="K30" s="58">
        <f>'Anne-7'!J31+'Anne-8'!J31</f>
        <v>3850601</v>
      </c>
      <c r="L30" s="58">
        <f>'Anne-6'!N31</f>
        <v>10792314</v>
      </c>
      <c r="M30" s="58">
        <f>'Anne-6'!K31</f>
        <v>559150</v>
      </c>
      <c r="N30" s="217">
        <f>'Anne-6'!X31</f>
        <v>0</v>
      </c>
      <c r="O30" s="58"/>
      <c r="P30" s="58">
        <f>'Anne-7'!L31+'Anne-8'!L31</f>
        <v>535055</v>
      </c>
      <c r="Q30" s="58">
        <f>'Anne-4'!O30</f>
        <v>4953604</v>
      </c>
      <c r="R30" s="58">
        <f>'Anne-6'!W31</f>
        <v>3621</v>
      </c>
      <c r="S30" s="58">
        <f t="shared" si="6"/>
        <v>43535278</v>
      </c>
      <c r="T30" s="58">
        <f t="shared" si="7"/>
        <v>49166603</v>
      </c>
      <c r="U30" s="151">
        <f t="shared" si="0"/>
        <v>14.143124050133919</v>
      </c>
      <c r="V30" s="151">
        <f t="shared" si="1"/>
        <v>2.18495448278223</v>
      </c>
      <c r="W30" s="151">
        <f t="shared" si="2"/>
        <v>6.118106918776074</v>
      </c>
      <c r="X30" s="151">
        <f t="shared" si="9"/>
        <v>7.33834317805576</v>
      </c>
      <c r="Y30" s="151">
        <f t="shared" si="8"/>
        <v>64.0704284894276</v>
      </c>
      <c r="Z30" s="152">
        <f t="shared" si="10"/>
        <v>11.453557204267295</v>
      </c>
      <c r="AA30" s="58">
        <f>AB30+AB28</f>
        <v>76738.37081971926</v>
      </c>
      <c r="AB30" s="58">
        <f t="shared" si="3"/>
        <v>66354.98617294736</v>
      </c>
      <c r="AC30" s="58">
        <f>'Anne-4'!Z30</f>
        <v>21824.767915903085</v>
      </c>
      <c r="AD30" s="58">
        <f>'Anne-4'!AA30</f>
        <v>44530.218257044275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1934872</v>
      </c>
      <c r="D31" s="60">
        <f>'Anne-8'!S32+'Anne-7'!R32+'Anne-7'!U32+'Anne-6'!AD32</f>
        <v>1985956</v>
      </c>
      <c r="E31" s="58">
        <f t="shared" si="5"/>
        <v>3920828</v>
      </c>
      <c r="F31" s="58"/>
      <c r="G31" s="58">
        <f>E31+E8</f>
        <v>4151836</v>
      </c>
      <c r="H31" s="58">
        <f>'Anne-6'!G32+'Anne-8'!H32</f>
        <v>9272222</v>
      </c>
      <c r="I31" s="58">
        <f>'Anne-6'!S32+'Anne-7'!I32+'Anne-8'!I32</f>
        <v>6999742</v>
      </c>
      <c r="J31" s="58">
        <f>'Anne-6'!I32+'Anne-8'!M32</f>
        <v>11601064</v>
      </c>
      <c r="K31" s="58">
        <f>'Anne-7'!J32+'Anne-8'!J32</f>
        <v>2086932</v>
      </c>
      <c r="L31" s="58">
        <f>'Anne-6'!N32</f>
        <v>2660460</v>
      </c>
      <c r="M31" s="58">
        <f>'Anne-6'!K32</f>
        <v>3011255</v>
      </c>
      <c r="N31" s="217">
        <f>'Anne-6'!X32</f>
        <v>0</v>
      </c>
      <c r="O31" s="58"/>
      <c r="P31" s="58">
        <f>'Anne-7'!L32+'Anne-8'!L32</f>
        <v>1924596</v>
      </c>
      <c r="Q31" s="58">
        <f>'Anne-4'!O31</f>
        <v>0</v>
      </c>
      <c r="R31" s="58">
        <f>'Anne-6'!W32</f>
        <v>0</v>
      </c>
      <c r="S31" s="58">
        <f t="shared" si="6"/>
        <v>37556271</v>
      </c>
      <c r="T31" s="58">
        <f t="shared" si="7"/>
        <v>41708107</v>
      </c>
      <c r="U31" s="151">
        <f t="shared" si="0"/>
        <v>17.673332535180517</v>
      </c>
      <c r="V31" s="151">
        <f t="shared" si="1"/>
        <v>2.9665776901556993</v>
      </c>
      <c r="W31" s="151">
        <f t="shared" si="2"/>
        <v>5.033651602570196</v>
      </c>
      <c r="X31" s="151">
        <f t="shared" si="9"/>
        <v>5.304278519215148</v>
      </c>
      <c r="Y31" s="151">
        <f t="shared" si="8"/>
        <v>53.28520106218717</v>
      </c>
      <c r="Z31" s="152">
        <f t="shared" si="10"/>
        <v>9.954505966909503</v>
      </c>
      <c r="AA31" s="58">
        <f>AB31+AB8</f>
        <v>78273.34075613982</v>
      </c>
      <c r="AB31" s="58">
        <f t="shared" si="3"/>
        <v>77892.3197226843</v>
      </c>
      <c r="AC31" s="58">
        <f>'Anne-4'!Z31</f>
        <v>10947.974843728232</v>
      </c>
      <c r="AD31" s="58">
        <f>'Anne-4'!AA31</f>
        <v>66944.34487895606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3226823</v>
      </c>
      <c r="D32" s="60">
        <f>'Anne-8'!S33+'Anne-7'!R33+'Anne-7'!U33+'Anne-6'!AD33</f>
        <v>0</v>
      </c>
      <c r="E32" s="58">
        <f t="shared" si="5"/>
        <v>3226823</v>
      </c>
      <c r="F32" s="58"/>
      <c r="G32" s="58">
        <f>E32</f>
        <v>3226823</v>
      </c>
      <c r="H32" s="58">
        <f>'Anne-6'!G33+'Anne-8'!H33</f>
        <v>3779342</v>
      </c>
      <c r="I32" s="58">
        <f>'Anne-6'!S33+'Anne-7'!I33+'Anne-8'!I33</f>
        <v>4187663</v>
      </c>
      <c r="J32" s="58">
        <f>'Anne-6'!I33+'Anne-8'!M33</f>
        <v>4185129</v>
      </c>
      <c r="K32" s="58">
        <f>'Anne-7'!J33+'Anne-8'!J33</f>
        <v>2933481</v>
      </c>
      <c r="L32" s="58">
        <f>'Anne-6'!N33</f>
        <v>1372181</v>
      </c>
      <c r="M32" s="58">
        <f>'Anne-6'!K33</f>
        <v>1876027</v>
      </c>
      <c r="N32" s="217">
        <f>'Anne-6'!X33</f>
        <v>0</v>
      </c>
      <c r="O32" s="58"/>
      <c r="P32" s="58">
        <f>'Anne-7'!L33+'Anne-8'!L33</f>
        <v>843673</v>
      </c>
      <c r="Q32" s="58">
        <f>'Anne-4'!O32</f>
        <v>0</v>
      </c>
      <c r="R32" s="58">
        <f>'Anne-6'!W33</f>
        <v>0</v>
      </c>
      <c r="S32" s="58">
        <f t="shared" si="6"/>
        <v>19177496</v>
      </c>
      <c r="T32" s="58">
        <f t="shared" si="7"/>
        <v>22404319</v>
      </c>
      <c r="U32" s="151">
        <f>C32/(AC32*1000)*100</f>
        <v>20.714714798547927</v>
      </c>
      <c r="V32" s="151"/>
      <c r="W32" s="151">
        <f t="shared" si="2"/>
        <v>20.714714798547927</v>
      </c>
      <c r="X32" s="151">
        <f t="shared" si="9"/>
        <v>20.714714798547927</v>
      </c>
      <c r="Y32" s="151">
        <f t="shared" si="8"/>
        <v>143.8253905902767</v>
      </c>
      <c r="Z32" s="152">
        <f t="shared" si="10"/>
        <v>14.402682804150396</v>
      </c>
      <c r="AA32" s="58">
        <f>AB32</f>
        <v>15577.443529303122</v>
      </c>
      <c r="AB32" s="58">
        <f t="shared" si="3"/>
        <v>15577.443529303122</v>
      </c>
      <c r="AC32" s="58">
        <f>'Anne-4'!Z32</f>
        <v>15577.443529303122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2307293</v>
      </c>
      <c r="D33" s="60">
        <f>'Anne-8'!S34+'Anne-7'!R34+'Anne-7'!U34+'Anne-6'!AD34</f>
        <v>78138</v>
      </c>
      <c r="E33" s="58">
        <f t="shared" si="5"/>
        <v>2385431</v>
      </c>
      <c r="F33" s="58"/>
      <c r="G33" s="58">
        <f>E33</f>
        <v>2385431</v>
      </c>
      <c r="H33" s="58">
        <f>'Anne-6'!G34+'Anne-8'!H34</f>
        <v>4015358</v>
      </c>
      <c r="I33" s="58">
        <f>'Anne-6'!S34+'Anne-7'!I34+'Anne-8'!I34</f>
        <v>981955</v>
      </c>
      <c r="J33" s="58">
        <f>'Anne-6'!I34+'Anne-8'!M34</f>
        <v>2118352</v>
      </c>
      <c r="K33" s="58">
        <f>'Anne-7'!J34+'Anne-8'!J34</f>
        <v>1466410</v>
      </c>
      <c r="L33" s="58">
        <f>'Anne-6'!N34</f>
        <v>0</v>
      </c>
      <c r="M33" s="58">
        <f>'Anne-6'!K34</f>
        <v>3865969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12448044</v>
      </c>
      <c r="T33" s="58">
        <f t="shared" si="7"/>
        <v>14833475</v>
      </c>
      <c r="U33" s="151">
        <f>C33/(AC33*1000)*100</f>
        <v>19.35702804243417</v>
      </c>
      <c r="V33" s="151"/>
      <c r="W33" s="151">
        <f t="shared" si="2"/>
        <v>20.01256657056203</v>
      </c>
      <c r="X33" s="151">
        <f t="shared" si="9"/>
        <v>20.01256657056203</v>
      </c>
      <c r="Y33" s="151">
        <f t="shared" si="8"/>
        <v>124.44539620314636</v>
      </c>
      <c r="Z33" s="152">
        <f t="shared" si="10"/>
        <v>16.081403716930794</v>
      </c>
      <c r="AA33" s="58">
        <f>AB33</f>
        <v>11919.665534099497</v>
      </c>
      <c r="AB33" s="58">
        <f t="shared" si="3"/>
        <v>11919.665534099497</v>
      </c>
      <c r="AC33" s="58">
        <f>'Anne-4'!Z33</f>
        <v>11919.665534099497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80159301</v>
      </c>
      <c r="D34" s="86">
        <f t="shared" si="11"/>
        <v>41493386</v>
      </c>
      <c r="E34" s="58">
        <f t="shared" si="11"/>
        <v>121652687</v>
      </c>
      <c r="F34" s="58">
        <f>SUM(F8:F33)</f>
        <v>0</v>
      </c>
      <c r="G34" s="58">
        <f>SUM(G8:G33)</f>
        <v>121652687</v>
      </c>
      <c r="H34" s="58">
        <f>'Anne-6'!G35+'Anne-8'!H35</f>
        <v>176941978</v>
      </c>
      <c r="I34" s="58">
        <f>'Anne-6'!S35+'Anne-7'!I35+'Anne-8'!I35</f>
        <v>109990453</v>
      </c>
      <c r="J34" s="58">
        <f t="shared" si="11"/>
        <v>137423630</v>
      </c>
      <c r="K34" s="58">
        <f>'Anne-7'!J35+'Anne-8'!J35</f>
        <v>60208560</v>
      </c>
      <c r="L34" s="58">
        <f>'Anne-6'!N35</f>
        <v>113601528</v>
      </c>
      <c r="M34" s="58">
        <f>'Anne-6'!K35</f>
        <v>55581641</v>
      </c>
      <c r="N34" s="217">
        <f>'Anne-6'!X35</f>
        <v>0</v>
      </c>
      <c r="O34" s="58">
        <f>'Anne-7'!K35+'Anne-8'!K35</f>
        <v>1555300</v>
      </c>
      <c r="P34" s="58">
        <f>SUM(P8:P33)</f>
        <v>10622528</v>
      </c>
      <c r="Q34" s="58">
        <f>'Anne-4'!O34</f>
        <v>31683600</v>
      </c>
      <c r="R34" s="58">
        <f>'Anne-6'!W35</f>
        <v>2009474</v>
      </c>
      <c r="S34" s="58">
        <f t="shared" si="6"/>
        <v>699618692</v>
      </c>
      <c r="T34" s="58">
        <f>SUM(T8:T33)</f>
        <v>821271379</v>
      </c>
      <c r="U34" s="154">
        <f>C34/(AC34*1000)*100</f>
        <v>24.173734382762838</v>
      </c>
      <c r="V34" s="154">
        <f>D34/(AD34*1000)*100</f>
        <v>4.791515304266057</v>
      </c>
      <c r="W34" s="154">
        <f t="shared" si="2"/>
        <v>10.158269340388266</v>
      </c>
      <c r="X34" s="154">
        <f t="shared" si="9"/>
        <v>10.158269340388266</v>
      </c>
      <c r="Y34" s="154">
        <f t="shared" si="8"/>
        <v>68.57798274060391</v>
      </c>
      <c r="Z34" s="154">
        <f t="shared" si="10"/>
        <v>14.812726963421916</v>
      </c>
      <c r="AA34" s="58">
        <f aca="true" t="shared" si="12" ref="AA34:AG34">SUM(AA8:AA33)</f>
        <v>1197572.961728048</v>
      </c>
      <c r="AB34" s="58">
        <f t="shared" si="12"/>
        <v>1197572.961728048</v>
      </c>
      <c r="AC34" s="38">
        <f t="shared" si="12"/>
        <v>331596.68146746024</v>
      </c>
      <c r="AD34" s="38">
        <f t="shared" si="12"/>
        <v>865976.280260588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4183844</v>
      </c>
      <c r="G35" s="87">
        <f>F35</f>
        <v>4183844</v>
      </c>
      <c r="H35" s="58">
        <f>'Anne-6'!G36+'Anne-8'!H36</f>
        <v>10376211</v>
      </c>
      <c r="I35" s="58">
        <f>'Anne-6'!S36+'Anne-7'!I36+'Anne-8'!I36</f>
        <v>7868703</v>
      </c>
      <c r="J35" s="58">
        <f>'Anne-6'!I36+'Anne-8'!M36</f>
        <v>8542852</v>
      </c>
      <c r="K35" s="58">
        <f>'Anne-7'!J36+'Anne-8'!J36</f>
        <v>3656218</v>
      </c>
      <c r="L35" s="58">
        <f>'Anne-6'!N36</f>
        <v>4895910</v>
      </c>
      <c r="M35" s="58">
        <f>'Anne-6'!K36</f>
        <v>2942096</v>
      </c>
      <c r="N35" s="217">
        <f>'Anne-6'!X36</f>
        <v>0</v>
      </c>
      <c r="O35" s="58">
        <f>'Anne-7'!K36+'Anne-8'!K36</f>
        <v>0</v>
      </c>
      <c r="P35" s="58">
        <f>'Anne-7'!L36+'Anne-8'!L36</f>
        <v>917353</v>
      </c>
      <c r="Q35" s="58">
        <f>'Anne-4'!O35</f>
        <v>0</v>
      </c>
      <c r="R35" s="58">
        <f>'Anne-6'!W36</f>
        <v>0</v>
      </c>
      <c r="S35" s="58">
        <f t="shared" si="6"/>
        <v>39199343</v>
      </c>
      <c r="T35" s="58">
        <f>G35+S35</f>
        <v>43383187</v>
      </c>
      <c r="U35" s="151"/>
      <c r="V35" s="151"/>
      <c r="W35" s="151"/>
      <c r="X35" s="151">
        <f t="shared" si="9"/>
        <v>24.252412062403447</v>
      </c>
      <c r="Y35" s="151">
        <f t="shared" si="8"/>
        <v>251.47852733139774</v>
      </c>
      <c r="Z35" s="152"/>
      <c r="AA35" s="58">
        <f>AB35</f>
        <v>17251.24902724985</v>
      </c>
      <c r="AB35" s="58">
        <f>AC35+AD35</f>
        <v>17251.24902724985</v>
      </c>
      <c r="AC35" s="58">
        <f>'Anne-4'!Z35</f>
        <v>16463.063946225968</v>
      </c>
      <c r="AD35" s="58">
        <f>'Anne-4'!AA35</f>
        <v>788.1850810238822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4273866</v>
      </c>
      <c r="G36" s="87">
        <f>F36</f>
        <v>4273866</v>
      </c>
      <c r="H36" s="58">
        <f>'Anne-6'!G37+'Anne-8'!H37</f>
        <v>4160952</v>
      </c>
      <c r="I36" s="58">
        <f>'Anne-6'!S37+'Anne-7'!I37+'Anne-8'!I37</f>
        <v>6356187</v>
      </c>
      <c r="J36" s="58">
        <f>'Anne-6'!I37+'Anne-8'!M37</f>
        <v>6420082</v>
      </c>
      <c r="K36" s="58">
        <f>'Anne-7'!J37+'Anne-8'!J37</f>
        <v>4057359</v>
      </c>
      <c r="L36" s="58">
        <f>'Anne-6'!N37</f>
        <v>3109952</v>
      </c>
      <c r="M36" s="58">
        <f>'Anne-6'!K37</f>
        <v>1548230</v>
      </c>
      <c r="N36" s="217">
        <f>'Anne-6'!X37</f>
        <v>2987976</v>
      </c>
      <c r="O36" s="58">
        <f>'Anne-7'!K37+'Anne-8'!K37</f>
        <v>0</v>
      </c>
      <c r="P36" s="58">
        <f>'Anne-7'!L37+'Anne-8'!L37</f>
        <v>424603</v>
      </c>
      <c r="Q36" s="58">
        <f>'Anne-4'!O36</f>
        <v>0</v>
      </c>
      <c r="R36" s="58">
        <f>'Anne-6'!W37</f>
        <v>0</v>
      </c>
      <c r="S36" s="58">
        <f t="shared" si="6"/>
        <v>29065341</v>
      </c>
      <c r="T36" s="58">
        <f>G36+S36</f>
        <v>33339207</v>
      </c>
      <c r="U36" s="151"/>
      <c r="V36" s="151"/>
      <c r="W36" s="151"/>
      <c r="X36" s="151">
        <f t="shared" si="9"/>
        <v>17.669552516657816</v>
      </c>
      <c r="Y36" s="151">
        <f t="shared" si="8"/>
        <v>137.83512841774305</v>
      </c>
      <c r="Z36" s="152"/>
      <c r="AA36" s="58">
        <f>AB36</f>
        <v>24187.743271771316</v>
      </c>
      <c r="AB36" s="58">
        <f>AC36+AD36</f>
        <v>24187.743271771316</v>
      </c>
      <c r="AC36" s="58">
        <f>'Anne-4'!Z36</f>
        <v>24187.743271771316</v>
      </c>
      <c r="AD36" s="58">
        <f>'Anne-4'!AA36</f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80159301</v>
      </c>
      <c r="D37" s="58">
        <f t="shared" si="13"/>
        <v>41493386</v>
      </c>
      <c r="E37" s="58">
        <f t="shared" si="13"/>
        <v>121652687</v>
      </c>
      <c r="F37" s="58">
        <f t="shared" si="13"/>
        <v>8457710</v>
      </c>
      <c r="G37" s="58">
        <f>SUM(G34:G36)</f>
        <v>130110397</v>
      </c>
      <c r="H37" s="58">
        <f t="shared" si="13"/>
        <v>191479141</v>
      </c>
      <c r="I37" s="58">
        <f t="shared" si="13"/>
        <v>124215343</v>
      </c>
      <c r="J37" s="58">
        <f t="shared" si="13"/>
        <v>152386564</v>
      </c>
      <c r="K37" s="58">
        <f>'Anne-7'!J38+'Anne-8'!J38</f>
        <v>67922137</v>
      </c>
      <c r="L37" s="58">
        <f>SUM(L34:L36)</f>
        <v>121607390</v>
      </c>
      <c r="M37" s="58">
        <f>SUM(M34:M36)</f>
        <v>60071967</v>
      </c>
      <c r="N37" s="217">
        <f>'Anne-6'!X38</f>
        <v>2987976</v>
      </c>
      <c r="O37" s="58">
        <f>SUM(O34:O36)</f>
        <v>1555300</v>
      </c>
      <c r="P37" s="58">
        <f>SUM(P34:P36)</f>
        <v>11964484</v>
      </c>
      <c r="Q37" s="58">
        <f>'Anne-4'!O37</f>
        <v>31683600</v>
      </c>
      <c r="R37" s="58">
        <f>'Anne-6'!W38</f>
        <v>2009474</v>
      </c>
      <c r="S37" s="58">
        <f t="shared" si="6"/>
        <v>767883376</v>
      </c>
      <c r="T37" s="58">
        <f>SUM(T34:T36)</f>
        <v>897993773</v>
      </c>
      <c r="U37" s="154">
        <f>C34/(AC34*1000)*100</f>
        <v>24.173734382762838</v>
      </c>
      <c r="V37" s="154">
        <f>D34/(AD34*1000)*100</f>
        <v>4.791515304266057</v>
      </c>
      <c r="W37" s="154">
        <f>E34/(AB34*1000)*100</f>
        <v>10.158269340388266</v>
      </c>
      <c r="X37" s="154">
        <f t="shared" si="9"/>
        <v>10.501141379396039</v>
      </c>
      <c r="Y37" s="154">
        <f t="shared" si="8"/>
        <v>72.47660283513142</v>
      </c>
      <c r="Z37" s="154">
        <f>G34/T37*100</f>
        <v>13.547163761902834</v>
      </c>
      <c r="AA37" s="66">
        <f aca="true" t="shared" si="14" ref="AA37:AG37">SUM(AA34:AA36)</f>
        <v>1239011.9540270693</v>
      </c>
      <c r="AB37" s="58">
        <f t="shared" si="14"/>
        <v>1239011.9540270693</v>
      </c>
      <c r="AC37" s="58">
        <f t="shared" si="14"/>
        <v>372247.4886854575</v>
      </c>
      <c r="AD37" s="58">
        <f t="shared" si="14"/>
        <v>866764.4653416119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3">
        <f>C37/T37*100</f>
        <v>8.926487400041246</v>
      </c>
      <c r="D39" s="153">
        <f>D37/T37*100</f>
        <v>4.620676361861587</v>
      </c>
      <c r="E39" s="153">
        <f>E37/T37*100</f>
        <v>13.547163761902834</v>
      </c>
      <c r="F39" s="153">
        <f>F37/U37</f>
        <v>349871.8843386812</v>
      </c>
      <c r="G39" s="153">
        <f>G37/T37*100</f>
        <v>14.489008823004387</v>
      </c>
      <c r="H39" s="153">
        <f>H37/T37*100</f>
        <v>21.322992069344785</v>
      </c>
      <c r="I39" s="153">
        <f>I37/T37*100</f>
        <v>13.832539460159484</v>
      </c>
      <c r="J39" s="153">
        <f>J37/T37*100</f>
        <v>16.969668229536822</v>
      </c>
      <c r="K39" s="153">
        <f>K37/T37*100</f>
        <v>7.5637648102043125</v>
      </c>
      <c r="L39" s="153">
        <f>L37/T37*100</f>
        <v>13.54211951757042</v>
      </c>
      <c r="M39" s="153">
        <f>M37/T37*100</f>
        <v>6.6895750066632145</v>
      </c>
      <c r="N39" s="153">
        <f>N37/T37*100</f>
        <v>0.33273905564153616</v>
      </c>
      <c r="O39" s="153">
        <f>O37/T37*100</f>
        <v>0.17319719209233314</v>
      </c>
      <c r="P39" s="153">
        <f>P37/T37*100</f>
        <v>1.3323571231490043</v>
      </c>
      <c r="Q39" s="153">
        <f>Q37/T37*100</f>
        <v>3.528265000563651</v>
      </c>
      <c r="R39" s="153">
        <f>R37/T37*100</f>
        <v>0.22377371207005017</v>
      </c>
      <c r="S39" s="153">
        <f>S37/T37*100</f>
        <v>85.51099117699562</v>
      </c>
      <c r="T39" s="153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381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64"/>
      <c r="V40" s="64"/>
      <c r="W40" s="64"/>
      <c r="X40" s="64"/>
      <c r="Y40" s="450"/>
      <c r="Z40" s="68"/>
      <c r="AA40" s="69"/>
      <c r="AB40" s="449"/>
      <c r="AC40" s="65"/>
      <c r="AD40" s="65"/>
      <c r="AE40" s="69"/>
      <c r="AF40" s="69"/>
      <c r="AG40" s="69"/>
    </row>
    <row r="41" spans="2:26" ht="14.25">
      <c r="B41" s="382" t="s">
        <v>198</v>
      </c>
      <c r="C41" s="81"/>
      <c r="D41" s="81"/>
      <c r="E41" s="81"/>
      <c r="Y41" s="32"/>
      <c r="Z41" s="32"/>
    </row>
    <row r="42" spans="2:33" ht="15">
      <c r="B42" s="26" t="s">
        <v>197</v>
      </c>
      <c r="AA42" s="264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45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414.93386</v>
      </c>
    </row>
    <row r="51" spans="19:29" ht="14.25">
      <c r="S51" s="77">
        <v>3104575</v>
      </c>
      <c r="T51" s="295">
        <f>T10+T22</f>
        <v>23732245</v>
      </c>
      <c r="U51" s="78"/>
      <c r="V51" s="77"/>
      <c r="W51" s="77"/>
      <c r="AB51" s="81">
        <f>T10+T22</f>
        <v>23732245</v>
      </c>
      <c r="AC51" s="92">
        <f>AB51/(AB52*1000)*100</f>
        <v>51.590612336298804</v>
      </c>
    </row>
    <row r="52" spans="19:33" ht="14.25">
      <c r="S52" s="77"/>
      <c r="T52" s="295">
        <f>AB10+AB22+AB23</f>
        <v>46001.0919143562</v>
      </c>
      <c r="U52" s="77"/>
      <c r="V52" s="77"/>
      <c r="W52" s="77"/>
      <c r="AB52" s="42">
        <f>AB10+AB22+AB23</f>
        <v>46001.0919143562</v>
      </c>
      <c r="AC52">
        <f>AB52*1000</f>
        <v>46001091.9143562</v>
      </c>
      <c r="AG52" s="41" t="s">
        <v>94</v>
      </c>
    </row>
    <row r="53" spans="19:33" ht="15.75">
      <c r="S53" s="79"/>
      <c r="T53" s="296">
        <f>T51/(T52*1000)*100</f>
        <v>51.590612336298804</v>
      </c>
      <c r="U53" s="296">
        <f>S51/T51*100</f>
        <v>13.081674321160936</v>
      </c>
      <c r="V53" s="79"/>
      <c r="W53" s="77"/>
      <c r="AA53" s="43"/>
      <c r="AB53" s="421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7.640157773957455</v>
      </c>
      <c r="AC54">
        <f>AC53/AC52*100</f>
        <v>7.640157773957455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181</v>
      </c>
      <c r="C57" s="106">
        <f>C10+C22+C23</f>
        <v>2219964</v>
      </c>
      <c r="D57" s="106">
        <f>D10+D22+D23</f>
        <v>1156595</v>
      </c>
      <c r="E57" s="106">
        <f>SUM(C57:D57)</f>
        <v>3376559</v>
      </c>
    </row>
    <row r="58" spans="2:19" ht="14.25">
      <c r="B58" s="177" t="s">
        <v>182</v>
      </c>
      <c r="C58" s="106">
        <f>AC10+AC22+AC23</f>
        <v>8169.652800345282</v>
      </c>
      <c r="D58" s="106">
        <f>AD10+AD22+AD23</f>
        <v>37831.439114010915</v>
      </c>
      <c r="E58" s="106">
        <f>SUM(C58:D58)</f>
        <v>46001.0919143562</v>
      </c>
      <c r="S58" s="92"/>
    </row>
    <row r="59" spans="2:5" ht="14.25">
      <c r="B59" s="177" t="s">
        <v>183</v>
      </c>
      <c r="C59" s="224">
        <f>C57/(C58*1000)*100</f>
        <v>27.173296763678568</v>
      </c>
      <c r="D59" s="224">
        <f>D57/(D58*1000)*100</f>
        <v>3.057232363047098</v>
      </c>
      <c r="E59" s="224">
        <f>E57/(E58*1000)*100</f>
        <v>7.340171416553332</v>
      </c>
    </row>
  </sheetData>
  <sheetProtection/>
  <mergeCells count="12">
    <mergeCell ref="AE6:AG6"/>
    <mergeCell ref="Z6:Z7"/>
    <mergeCell ref="AA6:AA7"/>
    <mergeCell ref="S6:S7"/>
    <mergeCell ref="T6:T7"/>
    <mergeCell ref="X6:Y6"/>
    <mergeCell ref="AB6:AD6"/>
    <mergeCell ref="U6:W6"/>
    <mergeCell ref="A6:A7"/>
    <mergeCell ref="B6:B7"/>
    <mergeCell ref="G6:G7"/>
    <mergeCell ref="C6:E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4" sqref="P14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9.710937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30th April 2013.</v>
      </c>
      <c r="G2" s="2"/>
    </row>
    <row r="4" spans="2:7" ht="15.75">
      <c r="B4" s="29" t="s">
        <v>236</v>
      </c>
      <c r="G4" s="74"/>
    </row>
    <row r="5" ht="15.75" thickBot="1">
      <c r="B5" s="26" t="s">
        <v>223</v>
      </c>
    </row>
    <row r="6" spans="1:12" ht="17.25" customHeight="1">
      <c r="A6" s="486" t="s">
        <v>62</v>
      </c>
      <c r="B6" s="484" t="s">
        <v>64</v>
      </c>
      <c r="C6" s="463" t="s">
        <v>140</v>
      </c>
      <c r="D6" s="464"/>
      <c r="E6" s="464"/>
      <c r="F6" s="464"/>
      <c r="G6" s="465"/>
      <c r="H6" s="463" t="s">
        <v>143</v>
      </c>
      <c r="I6" s="464"/>
      <c r="J6" s="464"/>
      <c r="K6" s="464"/>
      <c r="L6" s="465"/>
    </row>
    <row r="7" spans="1:12" ht="16.5" customHeight="1">
      <c r="A7" s="487"/>
      <c r="B7" s="485"/>
      <c r="C7" s="462" t="s">
        <v>141</v>
      </c>
      <c r="D7" s="460" t="s">
        <v>139</v>
      </c>
      <c r="E7" s="460"/>
      <c r="F7" s="460"/>
      <c r="G7" s="461" t="s">
        <v>70</v>
      </c>
      <c r="H7" s="471" t="s">
        <v>142</v>
      </c>
      <c r="I7" s="460" t="s">
        <v>139</v>
      </c>
      <c r="J7" s="460"/>
      <c r="K7" s="460"/>
      <c r="L7" s="461" t="s">
        <v>70</v>
      </c>
    </row>
    <row r="8" spans="1:12" ht="21" customHeight="1">
      <c r="A8" s="462"/>
      <c r="B8" s="457"/>
      <c r="C8" s="462"/>
      <c r="D8" s="27" t="s">
        <v>131</v>
      </c>
      <c r="E8" s="27" t="s">
        <v>138</v>
      </c>
      <c r="F8" s="27" t="s">
        <v>89</v>
      </c>
      <c r="G8" s="461"/>
      <c r="H8" s="471"/>
      <c r="I8" s="27" t="s">
        <v>131</v>
      </c>
      <c r="J8" s="27" t="s">
        <v>138</v>
      </c>
      <c r="K8" s="27" t="s">
        <v>89</v>
      </c>
      <c r="L8" s="461"/>
    </row>
    <row r="9" spans="1:23" ht="15.75">
      <c r="A9" s="195">
        <v>1</v>
      </c>
      <c r="B9" s="196" t="s">
        <v>1</v>
      </c>
      <c r="C9" s="190">
        <f>'Anne-8'!D35/1000000</f>
        <v>20.446062</v>
      </c>
      <c r="D9" s="181">
        <f>'Anne-7'!F38/1000000</f>
        <v>2.701813</v>
      </c>
      <c r="E9" s="181">
        <f>'Anne-6'!D35/1000000</f>
        <v>98.504812</v>
      </c>
      <c r="F9" s="181">
        <f>E9+D9</f>
        <v>101.206625</v>
      </c>
      <c r="G9" s="193">
        <f aca="true" t="shared" si="0" ref="G9:G21">C9+F9</f>
        <v>121.652687</v>
      </c>
      <c r="H9" s="199">
        <f>C9/C22*100</f>
        <v>67.68500633680164</v>
      </c>
      <c r="I9" s="150">
        <f>D9/$D$22*100</f>
        <v>1.580985761003173</v>
      </c>
      <c r="J9" s="150">
        <f aca="true" t="shared" si="1" ref="J9:J17">E9/$E$22*100</f>
        <v>14.134876811734177</v>
      </c>
      <c r="K9" s="150">
        <f aca="true" t="shared" si="2" ref="K9:K22">F9/$F$22*100</f>
        <v>11.662623360395937</v>
      </c>
      <c r="L9" s="200">
        <f aca="true" t="shared" si="3" ref="L9:L22">G9/$G$22*100</f>
        <v>13.547163761902837</v>
      </c>
      <c r="N9" s="74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3.28307</v>
      </c>
      <c r="D10" s="184"/>
      <c r="E10" s="182">
        <f>'Anne-6'!G38/1000000</f>
        <v>188.196071</v>
      </c>
      <c r="F10" s="181">
        <f aca="true" t="shared" si="4" ref="F10:F21">E10+D10</f>
        <v>188.196071</v>
      </c>
      <c r="G10" s="191">
        <f t="shared" si="0"/>
        <v>191.479141</v>
      </c>
      <c r="H10" s="202">
        <f>C10/C22*100</f>
        <v>10.868333166267584</v>
      </c>
      <c r="I10" s="150"/>
      <c r="J10" s="149">
        <f t="shared" si="1"/>
        <v>27.00505920499984</v>
      </c>
      <c r="K10" s="149">
        <f t="shared" si="2"/>
        <v>21.686919151580565</v>
      </c>
      <c r="L10" s="201">
        <f t="shared" si="3"/>
        <v>21.322992069344785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1.242626</v>
      </c>
      <c r="D11" s="181">
        <f>'Anne-7'!I38/1000000</f>
        <v>88.3157</v>
      </c>
      <c r="E11" s="181">
        <f>'Anne-6'!S38/1000000</f>
        <v>34.657017</v>
      </c>
      <c r="F11" s="181">
        <f t="shared" si="4"/>
        <v>122.97271700000002</v>
      </c>
      <c r="G11" s="191">
        <f t="shared" si="0"/>
        <v>124.21534300000002</v>
      </c>
      <c r="H11" s="202">
        <f>C11/C22*100</f>
        <v>4.113611153300545</v>
      </c>
      <c r="I11" s="149">
        <f>D11/$D$22*100</f>
        <v>51.67858181636847</v>
      </c>
      <c r="J11" s="150">
        <f t="shared" si="1"/>
        <v>4.973083608922345</v>
      </c>
      <c r="K11" s="149">
        <f t="shared" si="2"/>
        <v>14.170855731781973</v>
      </c>
      <c r="L11" s="201">
        <f t="shared" si="3"/>
        <v>13.83253946015949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0.03291</v>
      </c>
      <c r="D12" s="184"/>
      <c r="E12" s="182">
        <f>'Anne-6'!I38/1000000</f>
        <v>152.353654</v>
      </c>
      <c r="F12" s="181">
        <f t="shared" si="4"/>
        <v>152.353654</v>
      </c>
      <c r="G12" s="191">
        <f t="shared" si="0"/>
        <v>152.386564</v>
      </c>
      <c r="H12" s="202">
        <f>C12/C22*100</f>
        <v>0.10894584778937585</v>
      </c>
      <c r="I12" s="149"/>
      <c r="J12" s="149">
        <f t="shared" si="1"/>
        <v>21.861877479727305</v>
      </c>
      <c r="K12" s="149">
        <f t="shared" si="2"/>
        <v>17.556590630129993</v>
      </c>
      <c r="L12" s="201">
        <f t="shared" si="3"/>
        <v>16.969668229536822</v>
      </c>
      <c r="N12" s="74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1.505999</v>
      </c>
      <c r="D13" s="181">
        <f>'Anne-7'!J38/1000000</f>
        <v>66.416138</v>
      </c>
      <c r="E13" s="185"/>
      <c r="F13" s="181">
        <f>E13+D13</f>
        <v>66.416138</v>
      </c>
      <c r="G13" s="193">
        <f t="shared" si="0"/>
        <v>67.922137</v>
      </c>
      <c r="H13" s="202">
        <f>C13/C22*100</f>
        <v>4.985485804465277</v>
      </c>
      <c r="I13" s="149">
        <f>D13/$D$22*100</f>
        <v>38.86389194175236</v>
      </c>
      <c r="J13" s="150">
        <f t="shared" si="1"/>
        <v>0</v>
      </c>
      <c r="K13" s="150">
        <f t="shared" si="2"/>
        <v>7.653514802475433</v>
      </c>
      <c r="L13" s="200">
        <f t="shared" si="3"/>
        <v>7.563764810204314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121.60739</v>
      </c>
      <c r="F14" s="181">
        <f t="shared" si="4"/>
        <v>121.60739</v>
      </c>
      <c r="G14" s="193">
        <f t="shared" si="0"/>
        <v>121.60739</v>
      </c>
      <c r="H14" s="202"/>
      <c r="I14" s="150"/>
      <c r="J14" s="149">
        <f t="shared" si="1"/>
        <v>17.449964546366672</v>
      </c>
      <c r="K14" s="150">
        <f t="shared" si="2"/>
        <v>14.013521223643007</v>
      </c>
      <c r="L14" s="200">
        <f t="shared" si="3"/>
        <v>13.54211951757042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60.071967</v>
      </c>
      <c r="F15" s="181">
        <f t="shared" si="4"/>
        <v>60.071967</v>
      </c>
      <c r="G15" s="193">
        <f t="shared" si="0"/>
        <v>60.071967</v>
      </c>
      <c r="H15" s="202"/>
      <c r="I15" s="150"/>
      <c r="J15" s="150">
        <f t="shared" si="1"/>
        <v>8.619983492619228</v>
      </c>
      <c r="K15" s="150">
        <f t="shared" si="2"/>
        <v>6.922439372315141</v>
      </c>
      <c r="L15" s="200">
        <f t="shared" si="3"/>
        <v>6.6895750066632145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1" customFormat="1" ht="15">
      <c r="A16" s="253">
        <v>8</v>
      </c>
      <c r="B16" s="254" t="s">
        <v>2</v>
      </c>
      <c r="C16" s="255">
        <f>'Anne-8'!E38/1000000</f>
        <v>3.456885</v>
      </c>
      <c r="D16" s="256">
        <f>'Anne-7'!G38/1000000</f>
        <v>0.180883</v>
      </c>
      <c r="E16" s="256">
        <f>'Anne-6'!E38/1000000</f>
        <v>4.819942</v>
      </c>
      <c r="F16" s="256">
        <f t="shared" si="4"/>
        <v>5.000825</v>
      </c>
      <c r="G16" s="257">
        <f t="shared" si="0"/>
        <v>8.45771</v>
      </c>
      <c r="H16" s="258">
        <f>C16/C22*100</f>
        <v>11.443733425565986</v>
      </c>
      <c r="I16" s="259">
        <f>D16/$D$22*100</f>
        <v>0.10584501866248218</v>
      </c>
      <c r="J16" s="259">
        <f t="shared" si="1"/>
        <v>0.691634094075563</v>
      </c>
      <c r="K16" s="259">
        <f t="shared" si="2"/>
        <v>0.5762739194815755</v>
      </c>
      <c r="L16" s="260">
        <f t="shared" si="3"/>
        <v>0.9418450611015542</v>
      </c>
      <c r="N16" s="262"/>
      <c r="O16" s="263"/>
      <c r="P16" s="263"/>
      <c r="Q16" s="262"/>
    </row>
    <row r="17" spans="1:17" ht="15">
      <c r="A17" s="195">
        <v>9</v>
      </c>
      <c r="B17" s="196" t="s">
        <v>188</v>
      </c>
      <c r="C17" s="192"/>
      <c r="D17" s="184"/>
      <c r="E17" s="181">
        <f>'Anne-6'!X38/1000000</f>
        <v>2.987976</v>
      </c>
      <c r="F17" s="181">
        <f t="shared" si="4"/>
        <v>2.987976</v>
      </c>
      <c r="G17" s="193">
        <f t="shared" si="0"/>
        <v>2.987976</v>
      </c>
      <c r="H17" s="202"/>
      <c r="I17" s="150"/>
      <c r="J17" s="150">
        <f t="shared" si="1"/>
        <v>0.42875745680747285</v>
      </c>
      <c r="K17" s="150">
        <f t="shared" si="2"/>
        <v>0.34432171508438714</v>
      </c>
      <c r="L17" s="200">
        <f t="shared" si="3"/>
        <v>0.3327390556415362</v>
      </c>
      <c r="N17" s="74"/>
      <c r="P17" s="180"/>
      <c r="Q17" s="74"/>
    </row>
    <row r="18" spans="1:22" ht="15">
      <c r="A18" s="195">
        <v>10</v>
      </c>
      <c r="B18" s="196" t="s">
        <v>191</v>
      </c>
      <c r="C18" s="192">
        <f>'Anne-8'!K38/1000000</f>
        <v>0.187642</v>
      </c>
      <c r="D18" s="181">
        <f>'Anne-7'!K38/1000000</f>
        <v>1.367658</v>
      </c>
      <c r="E18" s="185"/>
      <c r="F18" s="181">
        <f t="shared" si="4"/>
        <v>1.367658</v>
      </c>
      <c r="G18" s="193">
        <f t="shared" si="0"/>
        <v>1.5553000000000001</v>
      </c>
      <c r="H18" s="202">
        <f>C18/C22*100</f>
        <v>0.6211734053750856</v>
      </c>
      <c r="I18" s="150">
        <f>D18/$D$22*100</f>
        <v>0.8002951440096252</v>
      </c>
      <c r="J18" s="150"/>
      <c r="K18" s="150">
        <f t="shared" si="2"/>
        <v>0.1576031227188179</v>
      </c>
      <c r="L18" s="200">
        <f t="shared" si="3"/>
        <v>0.17319719209233317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190</v>
      </c>
      <c r="C19" s="192">
        <f>'Anne-8'!L38/1000000</f>
        <v>0.052474</v>
      </c>
      <c r="D19" s="181">
        <f>'Anne-7'!L38/1000000</f>
        <v>11.91201</v>
      </c>
      <c r="E19" s="185"/>
      <c r="F19" s="181">
        <f t="shared" si="4"/>
        <v>11.91201</v>
      </c>
      <c r="G19" s="193">
        <f t="shared" si="0"/>
        <v>11.964484</v>
      </c>
      <c r="H19" s="202">
        <f>C19/C22*100</f>
        <v>0.17371086043450953</v>
      </c>
      <c r="I19" s="150">
        <f>D19/$D$22*100</f>
        <v>6.970400318203891</v>
      </c>
      <c r="J19" s="150"/>
      <c r="K19" s="150">
        <f t="shared" si="2"/>
        <v>1.3726896445293972</v>
      </c>
      <c r="L19" s="200">
        <f t="shared" si="3"/>
        <v>1.3323571231490046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134</v>
      </c>
      <c r="C20" s="192"/>
      <c r="D20" s="184"/>
      <c r="E20" s="181">
        <f>'Anne-6'!V38/1000000</f>
        <v>31.6836</v>
      </c>
      <c r="F20" s="181">
        <f t="shared" si="4"/>
        <v>31.6836</v>
      </c>
      <c r="G20" s="193">
        <f t="shared" si="0"/>
        <v>31.6836</v>
      </c>
      <c r="H20" s="202"/>
      <c r="I20" s="150"/>
      <c r="J20" s="150">
        <f>E20/$E$22*100</f>
        <v>4.546415285298559</v>
      </c>
      <c r="K20" s="150">
        <f t="shared" si="2"/>
        <v>3.6510840421903277</v>
      </c>
      <c r="L20" s="200">
        <f t="shared" si="3"/>
        <v>3.528265000563651</v>
      </c>
      <c r="N20" s="74"/>
      <c r="P20" s="180"/>
      <c r="Q20" s="74"/>
    </row>
    <row r="21" spans="1:17" ht="15">
      <c r="A21" s="209">
        <v>13</v>
      </c>
      <c r="B21" s="210" t="s">
        <v>144</v>
      </c>
      <c r="C21" s="211"/>
      <c r="D21" s="215"/>
      <c r="E21" s="216">
        <f>'Anne-6'!W38/1000000</f>
        <v>2.009474</v>
      </c>
      <c r="F21" s="181">
        <f t="shared" si="4"/>
        <v>2.009474</v>
      </c>
      <c r="G21" s="193">
        <f t="shared" si="0"/>
        <v>2.009474</v>
      </c>
      <c r="H21" s="212"/>
      <c r="I21" s="213"/>
      <c r="J21" s="150">
        <f>E21/$E$22*100</f>
        <v>0.2883480194488643</v>
      </c>
      <c r="K21" s="150">
        <f t="shared" si="2"/>
        <v>0.23156328367345777</v>
      </c>
      <c r="L21" s="200">
        <f t="shared" si="3"/>
        <v>0.22377371207005023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30.207668</v>
      </c>
      <c r="D22" s="194">
        <f>SUM(D9:D21)</f>
        <v>170.894202</v>
      </c>
      <c r="E22" s="194">
        <f>SUM(E9:E21)</f>
        <v>696.8919029999998</v>
      </c>
      <c r="F22" s="194">
        <f>SUM(F9:F21)</f>
        <v>867.7861049999999</v>
      </c>
      <c r="G22" s="194">
        <f>SUM(G9:G21)</f>
        <v>897.9937729999999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2"/>
        <v>100</v>
      </c>
      <c r="L22" s="205">
        <f t="shared" si="3"/>
        <v>100</v>
      </c>
      <c r="N22" s="74"/>
      <c r="P22" s="180"/>
    </row>
    <row r="23" spans="1:14" ht="22.5" customHeight="1">
      <c r="A23" s="187" t="s">
        <v>135</v>
      </c>
      <c r="B23" s="188"/>
      <c r="C23" s="189">
        <f>'Anne-8'!O35/1000000</f>
        <v>24.265365</v>
      </c>
      <c r="D23" s="189">
        <f>'Anne-7'!N35/1000000</f>
        <v>148.486698</v>
      </c>
      <c r="E23" s="189">
        <f>'Anne-6'!Z35/1000000</f>
        <v>648.519316</v>
      </c>
      <c r="F23" s="189">
        <f>E23+D23</f>
        <v>797.006014</v>
      </c>
      <c r="G23" s="189">
        <f>F23+C23</f>
        <v>821.271379</v>
      </c>
      <c r="H23" s="176"/>
      <c r="I23" s="176"/>
      <c r="J23" s="176"/>
      <c r="K23" s="176"/>
      <c r="L23" s="176"/>
      <c r="N23" s="74">
        <f>G22*1000000</f>
        <v>897993772.9999999</v>
      </c>
    </row>
    <row r="24" ht="15.75" customHeight="1">
      <c r="L24" s="161"/>
    </row>
    <row r="25" spans="1:10" ht="31.5" customHeight="1">
      <c r="A25" s="457" t="s">
        <v>137</v>
      </c>
      <c r="B25" s="471"/>
      <c r="C25" s="179">
        <f>C9/C22*100</f>
        <v>67.68500633680164</v>
      </c>
      <c r="D25" s="179">
        <f>D9/D22*100</f>
        <v>1.580985761003173</v>
      </c>
      <c r="E25" s="179">
        <f>E9/E22*100</f>
        <v>14.134876811734177</v>
      </c>
      <c r="F25" s="179">
        <f>F9/F22*100</f>
        <v>11.662623360395937</v>
      </c>
      <c r="G25" s="179">
        <f>G9/G22*100</f>
        <v>13.547163761902837</v>
      </c>
      <c r="H25" s="102"/>
      <c r="I25" s="102"/>
      <c r="J25" s="102"/>
    </row>
    <row r="26" spans="1:7" ht="33.75" customHeight="1">
      <c r="A26" s="458" t="s">
        <v>136</v>
      </c>
      <c r="B26" s="459"/>
      <c r="C26" s="179">
        <f>C9/C23*100</f>
        <v>84.2602697301277</v>
      </c>
      <c r="D26" s="179">
        <f>D9/D23*100</f>
        <v>1.8195656825771696</v>
      </c>
      <c r="E26" s="179">
        <f>E9/E23*100</f>
        <v>15.189187055763812</v>
      </c>
      <c r="F26" s="179">
        <f>F9/F23*100</f>
        <v>12.698351483204743</v>
      </c>
      <c r="G26" s="179">
        <f>G9/G23*100</f>
        <v>14.812726963421916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5.757261808196388</v>
      </c>
      <c r="L30" s="161">
        <f>L17+L18+L19+L20+L21</f>
        <v>5.590332083516575</v>
      </c>
    </row>
    <row r="31" spans="3:12" ht="15">
      <c r="C31" s="161">
        <f>C17+C18+C19+C20+C21</f>
        <v>0.240116</v>
      </c>
      <c r="D31" s="161">
        <f aca="true" t="shared" si="5" ref="D31:L31">D17+D18+D19+D20+D21</f>
        <v>13.279668000000001</v>
      </c>
      <c r="E31" s="161">
        <f t="shared" si="5"/>
        <v>36.68105</v>
      </c>
      <c r="F31" s="161">
        <f t="shared" si="5"/>
        <v>49.960718</v>
      </c>
      <c r="G31" s="161">
        <f t="shared" si="5"/>
        <v>50.200834</v>
      </c>
      <c r="H31" s="161">
        <f t="shared" si="5"/>
        <v>0.7948842658095951</v>
      </c>
      <c r="I31" s="161">
        <f t="shared" si="5"/>
        <v>7.770695462213516</v>
      </c>
      <c r="J31" s="161">
        <f t="shared" si="5"/>
        <v>5.263520761554895</v>
      </c>
      <c r="K31" s="161">
        <f t="shared" si="5"/>
        <v>5.757261808196388</v>
      </c>
      <c r="L31" s="161">
        <f t="shared" si="5"/>
        <v>5.590332083516575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204.46062</v>
      </c>
      <c r="D34" s="26">
        <f>D9*10</f>
        <v>27.01813</v>
      </c>
      <c r="E34" s="26">
        <f>E9*10</f>
        <v>985.04812</v>
      </c>
    </row>
    <row r="35" ht="15">
      <c r="G35" s="214"/>
    </row>
  </sheetData>
  <sheetProtection/>
  <mergeCells count="12">
    <mergeCell ref="D7:F7"/>
    <mergeCell ref="C7:C8"/>
    <mergeCell ref="A25:B25"/>
    <mergeCell ref="A26:B26"/>
    <mergeCell ref="B6:B8"/>
    <mergeCell ref="A6:A8"/>
    <mergeCell ref="C6:G6"/>
    <mergeCell ref="G7:G8"/>
    <mergeCell ref="H7:H8"/>
    <mergeCell ref="H6:L6"/>
    <mergeCell ref="I7:K7"/>
    <mergeCell ref="L7:L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1" width="10.7109375" style="0" hidden="1" customWidth="1"/>
    <col min="22" max="22" width="11.421875" style="0" hidden="1" customWidth="1"/>
    <col min="23" max="23" width="9.7109375" style="0" customWidth="1"/>
    <col min="24" max="24" width="11.00390625" style="0" customWidth="1"/>
    <col min="25" max="25" width="10.8515625" style="0" customWidth="1"/>
    <col min="26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9.28125" style="0" customWidth="1"/>
    <col min="32" max="32" width="10.140625" style="0" bestFit="1" customWidth="1"/>
    <col min="33" max="33" width="8.00390625" style="0" customWidth="1"/>
    <col min="34" max="34" width="7.140625" style="0" customWidth="1"/>
    <col min="35" max="35" width="7.8515625" style="0" customWidth="1"/>
    <col min="36" max="36" width="6.1406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238</v>
      </c>
      <c r="AI1" s="76" t="s">
        <v>115</v>
      </c>
    </row>
    <row r="2" ht="13.5" thickBot="1">
      <c r="A2" s="186"/>
    </row>
    <row r="3" spans="1:37" ht="12.75" customHeight="1" thickBot="1">
      <c r="A3" s="505" t="s">
        <v>19</v>
      </c>
      <c r="B3" s="508" t="s">
        <v>20</v>
      </c>
      <c r="C3" s="511" t="s">
        <v>147</v>
      </c>
      <c r="D3" s="512"/>
      <c r="E3" s="512"/>
      <c r="F3" s="512"/>
      <c r="G3" s="512"/>
      <c r="H3" s="512"/>
      <c r="I3" s="512"/>
      <c r="J3" s="512"/>
      <c r="K3" s="512"/>
      <c r="L3" s="512"/>
      <c r="M3" s="513" t="s">
        <v>148</v>
      </c>
      <c r="N3" s="512"/>
      <c r="O3" s="512"/>
      <c r="P3" s="512"/>
      <c r="Q3" s="512"/>
      <c r="R3" s="512"/>
      <c r="S3" s="512"/>
      <c r="T3" s="512"/>
      <c r="U3" s="512"/>
      <c r="V3" s="514"/>
      <c r="W3" s="488" t="s">
        <v>237</v>
      </c>
      <c r="X3" s="489"/>
      <c r="Y3" s="489"/>
      <c r="Z3" s="489"/>
      <c r="AA3" s="489"/>
      <c r="AB3" s="489"/>
      <c r="AC3" s="489"/>
      <c r="AD3" s="489"/>
      <c r="AE3" s="489"/>
      <c r="AF3" s="490"/>
      <c r="AG3" s="491" t="s">
        <v>153</v>
      </c>
      <c r="AH3" s="492"/>
      <c r="AI3" s="492"/>
      <c r="AJ3" s="492"/>
      <c r="AK3" s="493"/>
    </row>
    <row r="4" spans="1:37" ht="12.75" customHeight="1">
      <c r="A4" s="506"/>
      <c r="B4" s="509"/>
      <c r="C4" s="497" t="s">
        <v>184</v>
      </c>
      <c r="D4" s="498"/>
      <c r="E4" s="498"/>
      <c r="F4" s="498"/>
      <c r="G4" s="499"/>
      <c r="H4" s="500" t="s">
        <v>185</v>
      </c>
      <c r="I4" s="498"/>
      <c r="J4" s="498"/>
      <c r="K4" s="498"/>
      <c r="L4" s="499"/>
      <c r="M4" s="500" t="s">
        <v>184</v>
      </c>
      <c r="N4" s="498"/>
      <c r="O4" s="498"/>
      <c r="P4" s="498"/>
      <c r="Q4" s="499"/>
      <c r="R4" s="500" t="s">
        <v>179</v>
      </c>
      <c r="S4" s="498"/>
      <c r="T4" s="498"/>
      <c r="U4" s="498"/>
      <c r="V4" s="501"/>
      <c r="W4" s="502" t="s">
        <v>150</v>
      </c>
      <c r="X4" s="503"/>
      <c r="Y4" s="503"/>
      <c r="Z4" s="503"/>
      <c r="AA4" s="503"/>
      <c r="AB4" s="503" t="s">
        <v>151</v>
      </c>
      <c r="AC4" s="503"/>
      <c r="AD4" s="503"/>
      <c r="AE4" s="503"/>
      <c r="AF4" s="504"/>
      <c r="AG4" s="494"/>
      <c r="AH4" s="495"/>
      <c r="AI4" s="495"/>
      <c r="AJ4" s="495"/>
      <c r="AK4" s="496"/>
    </row>
    <row r="5" spans="1:37" ht="12.75" customHeight="1">
      <c r="A5" s="506"/>
      <c r="B5" s="509"/>
      <c r="C5" s="518" t="s">
        <v>152</v>
      </c>
      <c r="D5" s="515" t="s">
        <v>139</v>
      </c>
      <c r="E5" s="515"/>
      <c r="F5" s="515"/>
      <c r="G5" s="516" t="s">
        <v>47</v>
      </c>
      <c r="H5" s="517" t="s">
        <v>152</v>
      </c>
      <c r="I5" s="515" t="s">
        <v>139</v>
      </c>
      <c r="J5" s="515"/>
      <c r="K5" s="515"/>
      <c r="L5" s="516" t="s">
        <v>47</v>
      </c>
      <c r="M5" s="517" t="s">
        <v>152</v>
      </c>
      <c r="N5" s="515" t="s">
        <v>139</v>
      </c>
      <c r="O5" s="515"/>
      <c r="P5" s="515"/>
      <c r="Q5" s="516" t="s">
        <v>47</v>
      </c>
      <c r="R5" s="517" t="s">
        <v>152</v>
      </c>
      <c r="S5" s="515" t="s">
        <v>139</v>
      </c>
      <c r="T5" s="515"/>
      <c r="U5" s="515"/>
      <c r="V5" s="521" t="s">
        <v>47</v>
      </c>
      <c r="W5" s="519" t="s">
        <v>176</v>
      </c>
      <c r="X5" s="515" t="s">
        <v>139</v>
      </c>
      <c r="Y5" s="515"/>
      <c r="Z5" s="515"/>
      <c r="AA5" s="515" t="s">
        <v>47</v>
      </c>
      <c r="AB5" s="524" t="s">
        <v>176</v>
      </c>
      <c r="AC5" s="515" t="s">
        <v>139</v>
      </c>
      <c r="AD5" s="515"/>
      <c r="AE5" s="515"/>
      <c r="AF5" s="516" t="s">
        <v>47</v>
      </c>
      <c r="AG5" s="519" t="s">
        <v>176</v>
      </c>
      <c r="AH5" s="515" t="s">
        <v>139</v>
      </c>
      <c r="AI5" s="515"/>
      <c r="AJ5" s="515"/>
      <c r="AK5" s="516" t="s">
        <v>47</v>
      </c>
    </row>
    <row r="6" spans="1:37" ht="12.75" customHeight="1" thickBot="1">
      <c r="A6" s="507"/>
      <c r="B6" s="510"/>
      <c r="C6" s="518"/>
      <c r="D6" s="95" t="s">
        <v>131</v>
      </c>
      <c r="E6" s="95" t="s">
        <v>138</v>
      </c>
      <c r="F6" s="95" t="s">
        <v>47</v>
      </c>
      <c r="G6" s="516"/>
      <c r="H6" s="517"/>
      <c r="I6" s="95" t="s">
        <v>131</v>
      </c>
      <c r="J6" s="95" t="s">
        <v>138</v>
      </c>
      <c r="K6" s="95" t="s">
        <v>47</v>
      </c>
      <c r="L6" s="516"/>
      <c r="M6" s="517"/>
      <c r="N6" s="95" t="s">
        <v>131</v>
      </c>
      <c r="O6" s="95" t="s">
        <v>138</v>
      </c>
      <c r="P6" s="95" t="s">
        <v>47</v>
      </c>
      <c r="Q6" s="516"/>
      <c r="R6" s="517"/>
      <c r="S6" s="95" t="s">
        <v>131</v>
      </c>
      <c r="T6" s="95" t="s">
        <v>138</v>
      </c>
      <c r="U6" s="95" t="s">
        <v>47</v>
      </c>
      <c r="V6" s="521"/>
      <c r="W6" s="520"/>
      <c r="X6" s="241" t="s">
        <v>131</v>
      </c>
      <c r="Y6" s="241" t="s">
        <v>138</v>
      </c>
      <c r="Z6" s="241" t="s">
        <v>47</v>
      </c>
      <c r="AA6" s="523"/>
      <c r="AB6" s="523"/>
      <c r="AC6" s="241" t="s">
        <v>131</v>
      </c>
      <c r="AD6" s="241" t="s">
        <v>138</v>
      </c>
      <c r="AE6" s="241" t="s">
        <v>47</v>
      </c>
      <c r="AF6" s="522"/>
      <c r="AG6" s="520"/>
      <c r="AH6" s="241" t="s">
        <v>131</v>
      </c>
      <c r="AI6" s="241" t="s">
        <v>138</v>
      </c>
      <c r="AJ6" s="241" t="s">
        <v>47</v>
      </c>
      <c r="AK6" s="522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2360213</v>
      </c>
      <c r="D8" s="219">
        <v>18041256</v>
      </c>
      <c r="E8" s="220">
        <v>48804853</v>
      </c>
      <c r="F8" s="219">
        <v>66846109</v>
      </c>
      <c r="G8" s="232">
        <v>69206322</v>
      </c>
      <c r="H8" s="231">
        <f>'Anne-8'!O10</f>
        <v>2239333</v>
      </c>
      <c r="I8" s="219">
        <f>'Anne-7'!N10</f>
        <v>13695960</v>
      </c>
      <c r="J8" s="219">
        <f>'Anne-6'!Z10</f>
        <v>50667662</v>
      </c>
      <c r="K8" s="219">
        <f>SUM(I8:J8)</f>
        <v>64363622</v>
      </c>
      <c r="L8" s="232">
        <f>K8+H8</f>
        <v>66602955</v>
      </c>
      <c r="M8" s="231">
        <v>1970060</v>
      </c>
      <c r="N8" s="219">
        <v>215963</v>
      </c>
      <c r="O8" s="221">
        <v>8804278</v>
      </c>
      <c r="P8" s="219">
        <v>9020241</v>
      </c>
      <c r="Q8" s="232">
        <v>10990301</v>
      </c>
      <c r="R8" s="231">
        <f>'Anne-8'!D10</f>
        <v>1848510</v>
      </c>
      <c r="S8" s="219">
        <f>'Anne-7'!F10</f>
        <v>90141</v>
      </c>
      <c r="T8" s="219">
        <f>'Anne-6'!D10</f>
        <v>9290023</v>
      </c>
      <c r="U8" s="219">
        <f>SUM(S8:T8)</f>
        <v>9380164</v>
      </c>
      <c r="V8" s="232">
        <f>U8+R8</f>
        <v>11228674</v>
      </c>
      <c r="W8" s="231">
        <f>H8-C8</f>
        <v>-120880</v>
      </c>
      <c r="X8" s="219">
        <f>I8-D8</f>
        <v>-4345296</v>
      </c>
      <c r="Y8" s="219">
        <f>J8-E8</f>
        <v>1862809</v>
      </c>
      <c r="Z8" s="219">
        <f>SUM(X8:Y8)</f>
        <v>-2482487</v>
      </c>
      <c r="AA8" s="232">
        <f>Z8+W8</f>
        <v>-2603367</v>
      </c>
      <c r="AB8" s="231">
        <f>R8-M8</f>
        <v>-121550</v>
      </c>
      <c r="AC8" s="219">
        <f>S8-N8</f>
        <v>-125822</v>
      </c>
      <c r="AD8" s="219">
        <f>T8-O8</f>
        <v>485745</v>
      </c>
      <c r="AE8" s="219">
        <f>SUM(AC8:AD8)</f>
        <v>359923</v>
      </c>
      <c r="AF8" s="232">
        <f>AE8+AB8</f>
        <v>238373</v>
      </c>
      <c r="AG8" s="239">
        <f>-(AB8)/W8*100</f>
        <v>-100.55426869622765</v>
      </c>
      <c r="AH8" s="218">
        <f>AC8/X8*100</f>
        <v>2.895591002316068</v>
      </c>
      <c r="AI8" s="218">
        <f>AD8/Y8*100</f>
        <v>26.07594230004257</v>
      </c>
      <c r="AJ8" s="218">
        <f>AE8/Z8*100</f>
        <v>-14.498484785620228</v>
      </c>
      <c r="AK8" s="243">
        <f>AF8/AA8*100</f>
        <v>-9.156334854056304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229854</v>
      </c>
      <c r="D9" s="219">
        <v>233002</v>
      </c>
      <c r="E9" s="220">
        <v>13975073</v>
      </c>
      <c r="F9" s="219">
        <v>14208075</v>
      </c>
      <c r="G9" s="232">
        <v>14437929</v>
      </c>
      <c r="H9" s="231">
        <f>'Anne-8'!O11</f>
        <v>194155</v>
      </c>
      <c r="I9" s="219">
        <f>'Anne-7'!N11</f>
        <v>91663</v>
      </c>
      <c r="J9" s="219">
        <f>'Anne-6'!Z11</f>
        <v>14296001</v>
      </c>
      <c r="K9" s="219">
        <f aca="true" t="shared" si="0" ref="K9:K35">SUM(I9:J9)</f>
        <v>14387664</v>
      </c>
      <c r="L9" s="232">
        <f aca="true" t="shared" si="1" ref="L9:L35">K9+H9</f>
        <v>14581819</v>
      </c>
      <c r="M9" s="231">
        <v>227229</v>
      </c>
      <c r="N9" s="219">
        <v>103900</v>
      </c>
      <c r="O9" s="221">
        <v>1161479</v>
      </c>
      <c r="P9" s="219">
        <v>1265379</v>
      </c>
      <c r="Q9" s="232">
        <v>1492608</v>
      </c>
      <c r="R9" s="231">
        <f>'Anne-8'!D11</f>
        <v>193915</v>
      </c>
      <c r="S9" s="219">
        <f>'Anne-7'!F11</f>
        <v>91663</v>
      </c>
      <c r="T9" s="219">
        <f>'Anne-6'!D11</f>
        <v>1144499</v>
      </c>
      <c r="U9" s="219">
        <f aca="true" t="shared" si="2" ref="U9:U32">SUM(S9:T9)</f>
        <v>1236162</v>
      </c>
      <c r="V9" s="232">
        <f aca="true" t="shared" si="3" ref="V9:V32">U9+R9</f>
        <v>1430077</v>
      </c>
      <c r="W9" s="231">
        <f aca="true" t="shared" si="4" ref="W9:Y35">H9-C9</f>
        <v>-35699</v>
      </c>
      <c r="X9" s="219">
        <f t="shared" si="4"/>
        <v>-141339</v>
      </c>
      <c r="Y9" s="219">
        <f t="shared" si="4"/>
        <v>320928</v>
      </c>
      <c r="Z9" s="219">
        <f aca="true" t="shared" si="5" ref="Z9:Z32">SUM(X9:Y9)</f>
        <v>179589</v>
      </c>
      <c r="AA9" s="232">
        <f aca="true" t="shared" si="6" ref="AA9:AA32">Z9+W9</f>
        <v>143890</v>
      </c>
      <c r="AB9" s="231">
        <f aca="true" t="shared" si="7" ref="AB9:AD32">R9-M9</f>
        <v>-33314</v>
      </c>
      <c r="AC9" s="219">
        <f t="shared" si="7"/>
        <v>-12237</v>
      </c>
      <c r="AD9" s="219">
        <f t="shared" si="7"/>
        <v>-16980</v>
      </c>
      <c r="AE9" s="219">
        <f aca="true" t="shared" si="8" ref="AE9:AE32">SUM(AC9:AD9)</f>
        <v>-29217</v>
      </c>
      <c r="AF9" s="232">
        <f aca="true" t="shared" si="9" ref="AF9:AF32">AE9+AB9</f>
        <v>-62531</v>
      </c>
      <c r="AG9" s="239">
        <f aca="true" t="shared" si="10" ref="AG9:AG36">-(AB9)/W9*100</f>
        <v>-93.31914059217345</v>
      </c>
      <c r="AH9" s="218">
        <f aca="true" t="shared" si="11" ref="AH9:AK36">AC9/X9*100</f>
        <v>8.657907583894042</v>
      </c>
      <c r="AI9" s="218">
        <f t="shared" si="11"/>
        <v>-5.290906371522584</v>
      </c>
      <c r="AJ9" s="218">
        <f t="shared" si="11"/>
        <v>-16.26881379149057</v>
      </c>
      <c r="AK9" s="427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610323</v>
      </c>
      <c r="D10" s="219">
        <v>10553322</v>
      </c>
      <c r="E10" s="220">
        <v>52951947</v>
      </c>
      <c r="F10" s="219">
        <v>63505269</v>
      </c>
      <c r="G10" s="232">
        <v>64115592</v>
      </c>
      <c r="H10" s="231">
        <f>'Anne-8'!O12</f>
        <v>394129</v>
      </c>
      <c r="I10" s="219">
        <f>'Anne-7'!N12</f>
        <v>7510011</v>
      </c>
      <c r="J10" s="219">
        <f>'Anne-6'!Z12</f>
        <v>52791848</v>
      </c>
      <c r="K10" s="219">
        <f t="shared" si="0"/>
        <v>60301859</v>
      </c>
      <c r="L10" s="232">
        <f t="shared" si="1"/>
        <v>60695988</v>
      </c>
      <c r="M10" s="231">
        <v>595139</v>
      </c>
      <c r="N10" s="219">
        <v>386867</v>
      </c>
      <c r="O10" s="221">
        <v>5747811</v>
      </c>
      <c r="P10" s="219">
        <v>6134678</v>
      </c>
      <c r="Q10" s="232">
        <v>6729817</v>
      </c>
      <c r="R10" s="231">
        <f>'Anne-8'!D12</f>
        <v>378374</v>
      </c>
      <c r="S10" s="219">
        <f>'Anne-7'!F12</f>
        <v>216532</v>
      </c>
      <c r="T10" s="219">
        <f>'Anne-6'!D12</f>
        <v>5690559</v>
      </c>
      <c r="U10" s="219">
        <f t="shared" si="2"/>
        <v>5907091</v>
      </c>
      <c r="V10" s="232">
        <f t="shared" si="3"/>
        <v>6285465</v>
      </c>
      <c r="W10" s="231">
        <f t="shared" si="4"/>
        <v>-216194</v>
      </c>
      <c r="X10" s="219">
        <f t="shared" si="4"/>
        <v>-3043311</v>
      </c>
      <c r="Y10" s="219">
        <f t="shared" si="4"/>
        <v>-160099</v>
      </c>
      <c r="Z10" s="219">
        <f t="shared" si="5"/>
        <v>-3203410</v>
      </c>
      <c r="AA10" s="232">
        <f t="shared" si="6"/>
        <v>-3419604</v>
      </c>
      <c r="AB10" s="231">
        <f t="shared" si="7"/>
        <v>-216765</v>
      </c>
      <c r="AC10" s="219">
        <f t="shared" si="7"/>
        <v>-170335</v>
      </c>
      <c r="AD10" s="219">
        <f t="shared" si="7"/>
        <v>-57252</v>
      </c>
      <c r="AE10" s="219">
        <f t="shared" si="8"/>
        <v>-227587</v>
      </c>
      <c r="AF10" s="232">
        <f t="shared" si="9"/>
        <v>-444352</v>
      </c>
      <c r="AG10" s="239">
        <f t="shared" si="10"/>
        <v>-100.26411463777902</v>
      </c>
      <c r="AH10" s="218">
        <f t="shared" si="11"/>
        <v>5.597029025295147</v>
      </c>
      <c r="AI10" s="218">
        <f t="shared" si="11"/>
        <v>35.76037326903978</v>
      </c>
      <c r="AJ10" s="218">
        <f t="shared" si="11"/>
        <v>7.104522992685919</v>
      </c>
      <c r="AK10" s="243">
        <f t="shared" si="11"/>
        <v>12.994253135743202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1830867</v>
      </c>
      <c r="D12" s="219">
        <v>12545126</v>
      </c>
      <c r="E12" s="220">
        <v>40792632</v>
      </c>
      <c r="F12" s="219">
        <v>53337758</v>
      </c>
      <c r="G12" s="232">
        <v>55168625</v>
      </c>
      <c r="H12" s="231">
        <f>'Anne-8'!O14</f>
        <v>1792000</v>
      </c>
      <c r="I12" s="219">
        <f>'Anne-7'!N14</f>
        <v>10143980</v>
      </c>
      <c r="J12" s="219">
        <f>'Anne-6'!Z14</f>
        <v>41549384</v>
      </c>
      <c r="K12" s="219">
        <f t="shared" si="0"/>
        <v>51693364</v>
      </c>
      <c r="L12" s="232">
        <f t="shared" si="1"/>
        <v>53485364</v>
      </c>
      <c r="M12" s="231">
        <v>1598630</v>
      </c>
      <c r="N12" s="219">
        <v>231887</v>
      </c>
      <c r="O12" s="221">
        <v>4000739</v>
      </c>
      <c r="P12" s="219">
        <v>4232626</v>
      </c>
      <c r="Q12" s="232">
        <v>5831256</v>
      </c>
      <c r="R12" s="231">
        <f>'Anne-8'!D14</f>
        <v>1565727</v>
      </c>
      <c r="S12" s="219">
        <f>'Anne-7'!F14</f>
        <v>119315</v>
      </c>
      <c r="T12" s="219">
        <f>'Anne-6'!D14</f>
        <v>4179707</v>
      </c>
      <c r="U12" s="219">
        <f t="shared" si="2"/>
        <v>4299022</v>
      </c>
      <c r="V12" s="232">
        <f t="shared" si="3"/>
        <v>5864749</v>
      </c>
      <c r="W12" s="231">
        <f t="shared" si="4"/>
        <v>-38867</v>
      </c>
      <c r="X12" s="219">
        <f t="shared" si="4"/>
        <v>-2401146</v>
      </c>
      <c r="Y12" s="219">
        <f t="shared" si="4"/>
        <v>756752</v>
      </c>
      <c r="Z12" s="219">
        <f t="shared" si="5"/>
        <v>-1644394</v>
      </c>
      <c r="AA12" s="232">
        <f t="shared" si="6"/>
        <v>-1683261</v>
      </c>
      <c r="AB12" s="231">
        <f t="shared" si="7"/>
        <v>-32903</v>
      </c>
      <c r="AC12" s="219">
        <f t="shared" si="7"/>
        <v>-112572</v>
      </c>
      <c r="AD12" s="219">
        <f t="shared" si="7"/>
        <v>178968</v>
      </c>
      <c r="AE12" s="219">
        <f t="shared" si="8"/>
        <v>66396</v>
      </c>
      <c r="AF12" s="232">
        <f t="shared" si="9"/>
        <v>33493</v>
      </c>
      <c r="AG12" s="239">
        <f t="shared" si="10"/>
        <v>-84.65536316155094</v>
      </c>
      <c r="AH12" s="218">
        <f t="shared" si="11"/>
        <v>4.688261355202891</v>
      </c>
      <c r="AI12" s="218">
        <f t="shared" si="11"/>
        <v>23.649491511089497</v>
      </c>
      <c r="AJ12" s="218">
        <f t="shared" si="11"/>
        <v>-4.037718454336369</v>
      </c>
      <c r="AK12" s="243">
        <f t="shared" si="11"/>
        <v>-1.9897686692675707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591881</v>
      </c>
      <c r="D13" s="219">
        <v>7393674</v>
      </c>
      <c r="E13" s="220">
        <v>15172641</v>
      </c>
      <c r="F13" s="219">
        <v>22566315</v>
      </c>
      <c r="G13" s="232">
        <v>23158196</v>
      </c>
      <c r="H13" s="231">
        <f>'Anne-8'!O15</f>
        <v>560474</v>
      </c>
      <c r="I13" s="219">
        <f>'Anne-7'!N15</f>
        <v>4934119</v>
      </c>
      <c r="J13" s="219">
        <f>'Anne-6'!Z15</f>
        <v>14609470</v>
      </c>
      <c r="K13" s="219">
        <f t="shared" si="0"/>
        <v>19543589</v>
      </c>
      <c r="L13" s="232">
        <f t="shared" si="1"/>
        <v>20104063</v>
      </c>
      <c r="M13" s="231">
        <v>542975</v>
      </c>
      <c r="N13" s="219">
        <v>26031</v>
      </c>
      <c r="O13" s="221">
        <v>2972891</v>
      </c>
      <c r="P13" s="219">
        <v>2998922</v>
      </c>
      <c r="Q13" s="232">
        <v>3541897</v>
      </c>
      <c r="R13" s="231">
        <f>'Anne-8'!D15</f>
        <v>504057</v>
      </c>
      <c r="S13" s="219">
        <f>'Anne-7'!F15</f>
        <v>20731</v>
      </c>
      <c r="T13" s="219">
        <f>'Anne-6'!D15</f>
        <v>3089520</v>
      </c>
      <c r="U13" s="219">
        <f t="shared" si="2"/>
        <v>3110251</v>
      </c>
      <c r="V13" s="232">
        <f t="shared" si="3"/>
        <v>3614308</v>
      </c>
      <c r="W13" s="231">
        <f t="shared" si="4"/>
        <v>-31407</v>
      </c>
      <c r="X13" s="219">
        <f t="shared" si="4"/>
        <v>-2459555</v>
      </c>
      <c r="Y13" s="219">
        <f t="shared" si="4"/>
        <v>-563171</v>
      </c>
      <c r="Z13" s="219">
        <f t="shared" si="5"/>
        <v>-3022726</v>
      </c>
      <c r="AA13" s="232">
        <f t="shared" si="6"/>
        <v>-3054133</v>
      </c>
      <c r="AB13" s="231">
        <f t="shared" si="7"/>
        <v>-38918</v>
      </c>
      <c r="AC13" s="219">
        <f t="shared" si="7"/>
        <v>-5300</v>
      </c>
      <c r="AD13" s="219">
        <f t="shared" si="7"/>
        <v>116629</v>
      </c>
      <c r="AE13" s="219">
        <f t="shared" si="8"/>
        <v>111329</v>
      </c>
      <c r="AF13" s="232">
        <f t="shared" si="9"/>
        <v>72411</v>
      </c>
      <c r="AG13" s="239">
        <f>-(AB13)/W13*100</f>
        <v>-123.91505078485687</v>
      </c>
      <c r="AH13" s="218">
        <f t="shared" si="11"/>
        <v>0.21548613468696573</v>
      </c>
      <c r="AI13" s="218">
        <f t="shared" si="11"/>
        <v>-20.70934050226308</v>
      </c>
      <c r="AJ13" s="218">
        <f t="shared" si="11"/>
        <v>-3.683066212418856</v>
      </c>
      <c r="AK13" s="427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308298</v>
      </c>
      <c r="D14" s="219">
        <v>775634</v>
      </c>
      <c r="E14" s="220">
        <v>7195700</v>
      </c>
      <c r="F14" s="219">
        <v>7971334</v>
      </c>
      <c r="G14" s="232">
        <v>8279632</v>
      </c>
      <c r="H14" s="231">
        <f>'Anne-8'!O16</f>
        <v>280669</v>
      </c>
      <c r="I14" s="219">
        <f>'Anne-7'!N16</f>
        <v>235471</v>
      </c>
      <c r="J14" s="219">
        <f>'Anne-6'!Z16</f>
        <v>6779872</v>
      </c>
      <c r="K14" s="219">
        <f t="shared" si="0"/>
        <v>7015343</v>
      </c>
      <c r="L14" s="232">
        <f t="shared" si="1"/>
        <v>7296012</v>
      </c>
      <c r="M14" s="231">
        <v>301845</v>
      </c>
      <c r="N14" s="219">
        <v>67783</v>
      </c>
      <c r="O14" s="221">
        <v>1609793</v>
      </c>
      <c r="P14" s="219">
        <v>1677576</v>
      </c>
      <c r="Q14" s="232">
        <v>1979421</v>
      </c>
      <c r="R14" s="231">
        <f>'Anne-8'!D16</f>
        <v>273941</v>
      </c>
      <c r="S14" s="219">
        <f>'Anne-7'!F16</f>
        <v>57959</v>
      </c>
      <c r="T14" s="219">
        <f>'Anne-6'!D16</f>
        <v>1576204</v>
      </c>
      <c r="U14" s="219">
        <f t="shared" si="2"/>
        <v>1634163</v>
      </c>
      <c r="V14" s="232">
        <f t="shared" si="3"/>
        <v>1908104</v>
      </c>
      <c r="W14" s="231">
        <f t="shared" si="4"/>
        <v>-27629</v>
      </c>
      <c r="X14" s="219">
        <f t="shared" si="4"/>
        <v>-540163</v>
      </c>
      <c r="Y14" s="219">
        <f t="shared" si="4"/>
        <v>-415828</v>
      </c>
      <c r="Z14" s="219">
        <f t="shared" si="5"/>
        <v>-955991</v>
      </c>
      <c r="AA14" s="232">
        <f t="shared" si="6"/>
        <v>-983620</v>
      </c>
      <c r="AB14" s="231">
        <f t="shared" si="7"/>
        <v>-27904</v>
      </c>
      <c r="AC14" s="219">
        <f t="shared" si="7"/>
        <v>-9824</v>
      </c>
      <c r="AD14" s="219">
        <f t="shared" si="7"/>
        <v>-33589</v>
      </c>
      <c r="AE14" s="219">
        <f t="shared" si="8"/>
        <v>-43413</v>
      </c>
      <c r="AF14" s="232">
        <f t="shared" si="9"/>
        <v>-71317</v>
      </c>
      <c r="AG14" s="239">
        <f t="shared" si="10"/>
        <v>-100.99533099279742</v>
      </c>
      <c r="AH14" s="218">
        <f t="shared" si="11"/>
        <v>1.8187102781938045</v>
      </c>
      <c r="AI14" s="218">
        <f t="shared" si="11"/>
        <v>8.077618630780034</v>
      </c>
      <c r="AJ14" s="218">
        <f t="shared" si="11"/>
        <v>4.541151538037492</v>
      </c>
      <c r="AK14" s="243">
        <f t="shared" si="11"/>
        <v>7.250462577011447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204312</v>
      </c>
      <c r="D15" s="219">
        <v>738785</v>
      </c>
      <c r="E15" s="220">
        <v>5568050</v>
      </c>
      <c r="F15" s="219">
        <v>6306835</v>
      </c>
      <c r="G15" s="232">
        <v>6511147</v>
      </c>
      <c r="H15" s="231">
        <f>'Anne-8'!O17</f>
        <v>196811</v>
      </c>
      <c r="I15" s="219">
        <f>'Anne-7'!N17</f>
        <v>694581</v>
      </c>
      <c r="J15" s="219">
        <f>'Anne-6'!Z17</f>
        <v>6150026</v>
      </c>
      <c r="K15" s="219">
        <f t="shared" si="0"/>
        <v>6844607</v>
      </c>
      <c r="L15" s="232">
        <f t="shared" si="1"/>
        <v>7041418</v>
      </c>
      <c r="M15" s="231">
        <v>203969</v>
      </c>
      <c r="N15" s="219">
        <v>76531</v>
      </c>
      <c r="O15" s="221">
        <v>969904</v>
      </c>
      <c r="P15" s="219">
        <v>1046435</v>
      </c>
      <c r="Q15" s="232">
        <v>1250404</v>
      </c>
      <c r="R15" s="231">
        <f>'Anne-8'!D17</f>
        <v>196811</v>
      </c>
      <c r="S15" s="219">
        <f>'Anne-7'!F17</f>
        <v>69668</v>
      </c>
      <c r="T15" s="219">
        <f>'Anne-6'!D17</f>
        <v>1089835</v>
      </c>
      <c r="U15" s="219">
        <f t="shared" si="2"/>
        <v>1159503</v>
      </c>
      <c r="V15" s="232">
        <f t="shared" si="3"/>
        <v>1356314</v>
      </c>
      <c r="W15" s="231">
        <f t="shared" si="4"/>
        <v>-7501</v>
      </c>
      <c r="X15" s="219">
        <f t="shared" si="4"/>
        <v>-44204</v>
      </c>
      <c r="Y15" s="219">
        <f t="shared" si="4"/>
        <v>581976</v>
      </c>
      <c r="Z15" s="219">
        <f t="shared" si="5"/>
        <v>537772</v>
      </c>
      <c r="AA15" s="232">
        <f t="shared" si="6"/>
        <v>530271</v>
      </c>
      <c r="AB15" s="231">
        <f t="shared" si="7"/>
        <v>-7158</v>
      </c>
      <c r="AC15" s="219">
        <f t="shared" si="7"/>
        <v>-6863</v>
      </c>
      <c r="AD15" s="219">
        <f t="shared" si="7"/>
        <v>119931</v>
      </c>
      <c r="AE15" s="219">
        <f t="shared" si="8"/>
        <v>113068</v>
      </c>
      <c r="AF15" s="232">
        <f t="shared" si="9"/>
        <v>105910</v>
      </c>
      <c r="AG15" s="239">
        <f t="shared" si="10"/>
        <v>-95.42727636315158</v>
      </c>
      <c r="AH15" s="218">
        <f t="shared" si="11"/>
        <v>15.525744276536061</v>
      </c>
      <c r="AI15" s="218">
        <f t="shared" si="11"/>
        <v>20.60755082683822</v>
      </c>
      <c r="AJ15" s="218">
        <f t="shared" si="11"/>
        <v>21.025267213614693</v>
      </c>
      <c r="AK15" s="243">
        <f t="shared" si="11"/>
        <v>19.972806357503995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2689455</v>
      </c>
      <c r="D17" s="219">
        <v>18002404</v>
      </c>
      <c r="E17" s="220">
        <v>37727062</v>
      </c>
      <c r="F17" s="219">
        <v>55729466</v>
      </c>
      <c r="G17" s="232">
        <v>58418921</v>
      </c>
      <c r="H17" s="231">
        <f>'Anne-8'!O19</f>
        <v>2443214</v>
      </c>
      <c r="I17" s="219">
        <f>'Anne-7'!N19</f>
        <v>14965866</v>
      </c>
      <c r="J17" s="219">
        <f>'Anne-6'!Z19</f>
        <v>37948923</v>
      </c>
      <c r="K17" s="219">
        <f t="shared" si="0"/>
        <v>52914789</v>
      </c>
      <c r="L17" s="232">
        <f t="shared" si="1"/>
        <v>55358003</v>
      </c>
      <c r="M17" s="231">
        <v>1963247</v>
      </c>
      <c r="N17" s="219">
        <v>361714</v>
      </c>
      <c r="O17" s="221">
        <v>6552974</v>
      </c>
      <c r="P17" s="219">
        <v>6914688</v>
      </c>
      <c r="Q17" s="232">
        <v>8877935</v>
      </c>
      <c r="R17" s="231">
        <f>'Anne-8'!D19</f>
        <v>1691273</v>
      </c>
      <c r="S17" s="219">
        <f>'Anne-7'!F19</f>
        <v>175759</v>
      </c>
      <c r="T17" s="219">
        <f>'Anne-6'!D19</f>
        <v>6951224</v>
      </c>
      <c r="U17" s="219">
        <f t="shared" si="2"/>
        <v>7126983</v>
      </c>
      <c r="V17" s="232">
        <f t="shared" si="3"/>
        <v>8818256</v>
      </c>
      <c r="W17" s="231">
        <f t="shared" si="4"/>
        <v>-246241</v>
      </c>
      <c r="X17" s="219">
        <f t="shared" si="4"/>
        <v>-3036538</v>
      </c>
      <c r="Y17" s="219">
        <f t="shared" si="4"/>
        <v>221861</v>
      </c>
      <c r="Z17" s="219">
        <f t="shared" si="5"/>
        <v>-2814677</v>
      </c>
      <c r="AA17" s="232">
        <f t="shared" si="6"/>
        <v>-3060918</v>
      </c>
      <c r="AB17" s="231">
        <f t="shared" si="7"/>
        <v>-271974</v>
      </c>
      <c r="AC17" s="219">
        <f t="shared" si="7"/>
        <v>-185955</v>
      </c>
      <c r="AD17" s="219">
        <f t="shared" si="7"/>
        <v>398250</v>
      </c>
      <c r="AE17" s="219">
        <f t="shared" si="8"/>
        <v>212295</v>
      </c>
      <c r="AF17" s="232">
        <f t="shared" si="9"/>
        <v>-59679</v>
      </c>
      <c r="AG17" s="239">
        <f t="shared" si="10"/>
        <v>-110.45033117961671</v>
      </c>
      <c r="AH17" s="218">
        <f t="shared" si="11"/>
        <v>6.123914800341705</v>
      </c>
      <c r="AI17" s="219">
        <f t="shared" si="11"/>
        <v>179.50428421398985</v>
      </c>
      <c r="AJ17" s="218">
        <f t="shared" si="11"/>
        <v>-7.542428491794974</v>
      </c>
      <c r="AK17" s="243">
        <f t="shared" si="11"/>
        <v>1.949709204885593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3189796</v>
      </c>
      <c r="D18" s="219">
        <v>7720347</v>
      </c>
      <c r="E18" s="220">
        <v>26303237</v>
      </c>
      <c r="F18" s="219">
        <v>34023584</v>
      </c>
      <c r="G18" s="232">
        <v>37213380</v>
      </c>
      <c r="H18" s="231">
        <f>'Anne-8'!O20</f>
        <v>3064818</v>
      </c>
      <c r="I18" s="219">
        <f>'Anne-7'!N20</f>
        <v>5526180</v>
      </c>
      <c r="J18" s="219">
        <f>'Anne-6'!Z20</f>
        <v>25166488</v>
      </c>
      <c r="K18" s="219">
        <f t="shared" si="0"/>
        <v>30692668</v>
      </c>
      <c r="L18" s="232">
        <f t="shared" si="1"/>
        <v>33757486</v>
      </c>
      <c r="M18" s="231">
        <v>3065384</v>
      </c>
      <c r="N18" s="219">
        <v>336779</v>
      </c>
      <c r="O18" s="221">
        <v>6775671</v>
      </c>
      <c r="P18" s="219">
        <v>7112450</v>
      </c>
      <c r="Q18" s="232">
        <v>10177834</v>
      </c>
      <c r="R18" s="231">
        <f>'Anne-8'!D20</f>
        <v>2943505</v>
      </c>
      <c r="S18" s="219">
        <f>'Anne-7'!F20</f>
        <v>287469</v>
      </c>
      <c r="T18" s="219">
        <f>'Anne-6'!D20</f>
        <v>7435687</v>
      </c>
      <c r="U18" s="219">
        <f t="shared" si="2"/>
        <v>7723156</v>
      </c>
      <c r="V18" s="232">
        <f t="shared" si="3"/>
        <v>10666661</v>
      </c>
      <c r="W18" s="231">
        <f t="shared" si="4"/>
        <v>-124978</v>
      </c>
      <c r="X18" s="219">
        <f t="shared" si="4"/>
        <v>-2194167</v>
      </c>
      <c r="Y18" s="219">
        <f t="shared" si="4"/>
        <v>-1136749</v>
      </c>
      <c r="Z18" s="219">
        <f t="shared" si="5"/>
        <v>-3330916</v>
      </c>
      <c r="AA18" s="232">
        <f t="shared" si="6"/>
        <v>-3455894</v>
      </c>
      <c r="AB18" s="231">
        <f t="shared" si="7"/>
        <v>-121879</v>
      </c>
      <c r="AC18" s="219">
        <f t="shared" si="7"/>
        <v>-49310</v>
      </c>
      <c r="AD18" s="219">
        <f t="shared" si="7"/>
        <v>660016</v>
      </c>
      <c r="AE18" s="219">
        <f t="shared" si="8"/>
        <v>610706</v>
      </c>
      <c r="AF18" s="232">
        <f t="shared" si="9"/>
        <v>488827</v>
      </c>
      <c r="AG18" s="239">
        <f t="shared" si="10"/>
        <v>-97.52036358399079</v>
      </c>
      <c r="AH18" s="218">
        <f t="shared" si="11"/>
        <v>2.247322104470626</v>
      </c>
      <c r="AI18" s="218">
        <f t="shared" si="11"/>
        <v>-58.06171811015448</v>
      </c>
      <c r="AJ18" s="218">
        <f t="shared" si="11"/>
        <v>-18.334476162112765</v>
      </c>
      <c r="AK18" s="427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1138702</v>
      </c>
      <c r="D19" s="219">
        <v>9630678</v>
      </c>
      <c r="E19" s="220">
        <v>42034322</v>
      </c>
      <c r="F19" s="219">
        <v>51665000</v>
      </c>
      <c r="G19" s="232">
        <v>52803702</v>
      </c>
      <c r="H19" s="231">
        <f>'Anne-8'!O21</f>
        <v>1120350</v>
      </c>
      <c r="I19" s="219">
        <f>'Anne-7'!N21</f>
        <v>8050554</v>
      </c>
      <c r="J19" s="219">
        <f>'Anne-6'!Z21</f>
        <v>44113738</v>
      </c>
      <c r="K19" s="219">
        <f t="shared" si="0"/>
        <v>52164292</v>
      </c>
      <c r="L19" s="232">
        <f t="shared" si="1"/>
        <v>53284642</v>
      </c>
      <c r="M19" s="231">
        <v>851068</v>
      </c>
      <c r="N19" s="219">
        <v>282073</v>
      </c>
      <c r="O19" s="221">
        <v>4537780</v>
      </c>
      <c r="P19" s="219">
        <v>4819853</v>
      </c>
      <c r="Q19" s="232">
        <v>5670921</v>
      </c>
      <c r="R19" s="231">
        <f>'Anne-8'!D21</f>
        <v>835271</v>
      </c>
      <c r="S19" s="219">
        <f>'Anne-7'!F21</f>
        <v>213995</v>
      </c>
      <c r="T19" s="219">
        <f>'Anne-6'!D21</f>
        <v>5030875</v>
      </c>
      <c r="U19" s="219">
        <f t="shared" si="2"/>
        <v>5244870</v>
      </c>
      <c r="V19" s="232">
        <f t="shared" si="3"/>
        <v>6080141</v>
      </c>
      <c r="W19" s="231">
        <f t="shared" si="4"/>
        <v>-18352</v>
      </c>
      <c r="X19" s="219">
        <f t="shared" si="4"/>
        <v>-1580124</v>
      </c>
      <c r="Y19" s="219">
        <f t="shared" si="4"/>
        <v>2079416</v>
      </c>
      <c r="Z19" s="219">
        <f t="shared" si="5"/>
        <v>499292</v>
      </c>
      <c r="AA19" s="232">
        <f t="shared" si="6"/>
        <v>480940</v>
      </c>
      <c r="AB19" s="231">
        <f t="shared" si="7"/>
        <v>-15797</v>
      </c>
      <c r="AC19" s="219">
        <f t="shared" si="7"/>
        <v>-68078</v>
      </c>
      <c r="AD19" s="219">
        <f t="shared" si="7"/>
        <v>493095</v>
      </c>
      <c r="AE19" s="219">
        <f t="shared" si="8"/>
        <v>425017</v>
      </c>
      <c r="AF19" s="232">
        <f t="shared" si="9"/>
        <v>409220</v>
      </c>
      <c r="AG19" s="239">
        <f t="shared" si="10"/>
        <v>-86.07781168265039</v>
      </c>
      <c r="AH19" s="218">
        <f t="shared" si="11"/>
        <v>4.308396049930258</v>
      </c>
      <c r="AI19" s="218">
        <f t="shared" si="11"/>
        <v>23.713148307024664</v>
      </c>
      <c r="AJ19" s="218">
        <f t="shared" si="11"/>
        <v>85.1239354926576</v>
      </c>
      <c r="AK19" s="243">
        <f t="shared" si="11"/>
        <v>85.08753690689068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2645757</v>
      </c>
      <c r="D20" s="219">
        <v>20601053</v>
      </c>
      <c r="E20" s="220">
        <v>49887815</v>
      </c>
      <c r="F20" s="219">
        <v>70488868</v>
      </c>
      <c r="G20" s="232">
        <v>73134625</v>
      </c>
      <c r="H20" s="231">
        <f>'Anne-8'!O22</f>
        <v>2466436</v>
      </c>
      <c r="I20" s="219">
        <f>'Anne-7'!N22</f>
        <v>14977968</v>
      </c>
      <c r="J20" s="219">
        <f>'Anne-6'!Z22</f>
        <v>53422397</v>
      </c>
      <c r="K20" s="219">
        <f t="shared" si="0"/>
        <v>68400365</v>
      </c>
      <c r="L20" s="232">
        <f t="shared" si="1"/>
        <v>70866801</v>
      </c>
      <c r="M20" s="231">
        <v>2240187</v>
      </c>
      <c r="N20" s="219">
        <v>206044</v>
      </c>
      <c r="O20" s="221">
        <v>6020021</v>
      </c>
      <c r="P20" s="219">
        <v>6226065</v>
      </c>
      <c r="Q20" s="232">
        <v>8466252</v>
      </c>
      <c r="R20" s="231">
        <f>'Anne-8'!D22</f>
        <v>2046050</v>
      </c>
      <c r="S20" s="219">
        <f>'Anne-7'!F22</f>
        <v>151694</v>
      </c>
      <c r="T20" s="219">
        <f>'Anne-6'!D22</f>
        <v>6723903</v>
      </c>
      <c r="U20" s="219">
        <f t="shared" si="2"/>
        <v>6875597</v>
      </c>
      <c r="V20" s="232">
        <f t="shared" si="3"/>
        <v>8921647</v>
      </c>
      <c r="W20" s="231">
        <f t="shared" si="4"/>
        <v>-179321</v>
      </c>
      <c r="X20" s="219">
        <f t="shared" si="4"/>
        <v>-5623085</v>
      </c>
      <c r="Y20" s="219">
        <f t="shared" si="4"/>
        <v>3534582</v>
      </c>
      <c r="Z20" s="219">
        <f t="shared" si="5"/>
        <v>-2088503</v>
      </c>
      <c r="AA20" s="232">
        <f t="shared" si="6"/>
        <v>-2267824</v>
      </c>
      <c r="AB20" s="231">
        <f t="shared" si="7"/>
        <v>-194137</v>
      </c>
      <c r="AC20" s="219">
        <f t="shared" si="7"/>
        <v>-54350</v>
      </c>
      <c r="AD20" s="219">
        <f t="shared" si="7"/>
        <v>703882</v>
      </c>
      <c r="AE20" s="219">
        <f t="shared" si="8"/>
        <v>649532</v>
      </c>
      <c r="AF20" s="232">
        <f t="shared" si="9"/>
        <v>455395</v>
      </c>
      <c r="AG20" s="239">
        <f t="shared" si="10"/>
        <v>-108.26227826077258</v>
      </c>
      <c r="AH20" s="218">
        <f t="shared" si="11"/>
        <v>0.9665512792355085</v>
      </c>
      <c r="AI20" s="218">
        <f t="shared" si="11"/>
        <v>19.91415109339662</v>
      </c>
      <c r="AJ20" s="218">
        <f t="shared" si="11"/>
        <v>-31.100362316932273</v>
      </c>
      <c r="AK20" s="427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252373</v>
      </c>
      <c r="D21" s="219">
        <v>224755</v>
      </c>
      <c r="E21" s="220">
        <v>8293562</v>
      </c>
      <c r="F21" s="219">
        <v>8518317</v>
      </c>
      <c r="G21" s="232">
        <v>8770690</v>
      </c>
      <c r="H21" s="231">
        <f>'Anne-8'!O23</f>
        <v>189884</v>
      </c>
      <c r="I21" s="219">
        <f>'Anne-7'!N23</f>
        <v>147381</v>
      </c>
      <c r="J21" s="219">
        <f>'Anne-6'!Z23</f>
        <v>8813161</v>
      </c>
      <c r="K21" s="219">
        <f t="shared" si="0"/>
        <v>8960542</v>
      </c>
      <c r="L21" s="232">
        <f t="shared" si="1"/>
        <v>9150426</v>
      </c>
      <c r="M21" s="231">
        <v>252129</v>
      </c>
      <c r="N21" s="219">
        <v>149408</v>
      </c>
      <c r="O21" s="221">
        <v>1466940</v>
      </c>
      <c r="P21" s="219">
        <v>1616348</v>
      </c>
      <c r="Q21" s="232">
        <v>1868477</v>
      </c>
      <c r="R21" s="231">
        <f>'Anne-8'!D23</f>
        <v>189884</v>
      </c>
      <c r="S21" s="219">
        <f>'Anne-7'!F23</f>
        <v>147381</v>
      </c>
      <c r="T21" s="219">
        <f>'Anne-6'!D23</f>
        <v>1609217</v>
      </c>
      <c r="U21" s="219">
        <f t="shared" si="2"/>
        <v>1756598</v>
      </c>
      <c r="V21" s="232">
        <f t="shared" si="3"/>
        <v>1946482</v>
      </c>
      <c r="W21" s="231">
        <f t="shared" si="4"/>
        <v>-62489</v>
      </c>
      <c r="X21" s="219">
        <f t="shared" si="4"/>
        <v>-77374</v>
      </c>
      <c r="Y21" s="219">
        <f t="shared" si="4"/>
        <v>519599</v>
      </c>
      <c r="Z21" s="219">
        <f t="shared" si="5"/>
        <v>442225</v>
      </c>
      <c r="AA21" s="232">
        <f t="shared" si="6"/>
        <v>379736</v>
      </c>
      <c r="AB21" s="231">
        <f t="shared" si="7"/>
        <v>-62245</v>
      </c>
      <c r="AC21" s="219">
        <f t="shared" si="7"/>
        <v>-2027</v>
      </c>
      <c r="AD21" s="219">
        <f t="shared" si="7"/>
        <v>142277</v>
      </c>
      <c r="AE21" s="219">
        <f t="shared" si="8"/>
        <v>140250</v>
      </c>
      <c r="AF21" s="232">
        <f t="shared" si="9"/>
        <v>78005</v>
      </c>
      <c r="AG21" s="239">
        <f t="shared" si="10"/>
        <v>-99.60953127750484</v>
      </c>
      <c r="AH21" s="218">
        <f t="shared" si="11"/>
        <v>2.619743066146251</v>
      </c>
      <c r="AI21" s="218">
        <f t="shared" si="11"/>
        <v>27.382077332712342</v>
      </c>
      <c r="AJ21" s="218">
        <f t="shared" si="11"/>
        <v>31.714624908134997</v>
      </c>
      <c r="AK21" s="243">
        <f t="shared" si="11"/>
        <v>20.541902795626434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462793</v>
      </c>
      <c r="D23" s="219">
        <v>3468706</v>
      </c>
      <c r="E23" s="220">
        <v>23150229</v>
      </c>
      <c r="F23" s="219">
        <v>26618935</v>
      </c>
      <c r="G23" s="232">
        <v>27081728</v>
      </c>
      <c r="H23" s="231">
        <f>'Anne-8'!O25</f>
        <v>374427</v>
      </c>
      <c r="I23" s="219">
        <f>'Anne-7'!N25</f>
        <v>2157463</v>
      </c>
      <c r="J23" s="219">
        <f>'Anne-6'!Z25</f>
        <v>22444472</v>
      </c>
      <c r="K23" s="219">
        <f t="shared" si="0"/>
        <v>24601935</v>
      </c>
      <c r="L23" s="232">
        <f t="shared" si="1"/>
        <v>24976362</v>
      </c>
      <c r="M23" s="231">
        <v>451480</v>
      </c>
      <c r="N23" s="219">
        <v>130341</v>
      </c>
      <c r="O23" s="221">
        <v>4314273</v>
      </c>
      <c r="P23" s="219">
        <v>4444614</v>
      </c>
      <c r="Q23" s="232">
        <v>4896094</v>
      </c>
      <c r="R23" s="231">
        <f>'Anne-8'!D25</f>
        <v>364132</v>
      </c>
      <c r="S23" s="219">
        <f>'Anne-7'!F25</f>
        <v>70341</v>
      </c>
      <c r="T23" s="219">
        <f>'Anne-6'!D25</f>
        <v>4443021</v>
      </c>
      <c r="U23" s="219">
        <f t="shared" si="2"/>
        <v>4513362</v>
      </c>
      <c r="V23" s="232">
        <f t="shared" si="3"/>
        <v>4877494</v>
      </c>
      <c r="W23" s="231">
        <f t="shared" si="4"/>
        <v>-88366</v>
      </c>
      <c r="X23" s="219">
        <f t="shared" si="4"/>
        <v>-1311243</v>
      </c>
      <c r="Y23" s="219">
        <f t="shared" si="4"/>
        <v>-705757</v>
      </c>
      <c r="Z23" s="219">
        <f t="shared" si="5"/>
        <v>-2017000</v>
      </c>
      <c r="AA23" s="232">
        <f t="shared" si="6"/>
        <v>-2105366</v>
      </c>
      <c r="AB23" s="231">
        <f t="shared" si="7"/>
        <v>-87348</v>
      </c>
      <c r="AC23" s="219">
        <f t="shared" si="7"/>
        <v>-60000</v>
      </c>
      <c r="AD23" s="219">
        <f t="shared" si="7"/>
        <v>128748</v>
      </c>
      <c r="AE23" s="219">
        <f t="shared" si="8"/>
        <v>68748</v>
      </c>
      <c r="AF23" s="232">
        <f t="shared" si="9"/>
        <v>-18600</v>
      </c>
      <c r="AG23" s="239">
        <f t="shared" si="10"/>
        <v>-98.84797320236291</v>
      </c>
      <c r="AH23" s="218">
        <f t="shared" si="11"/>
        <v>4.575810890887501</v>
      </c>
      <c r="AI23" s="218">
        <f t="shared" si="11"/>
        <v>-18.242539570985482</v>
      </c>
      <c r="AJ23" s="218">
        <f t="shared" si="11"/>
        <v>-3.408428358948934</v>
      </c>
      <c r="AK23" s="243">
        <f t="shared" si="11"/>
        <v>0.8834568431332129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1442370</v>
      </c>
      <c r="D24" s="219">
        <v>9471383</v>
      </c>
      <c r="E24" s="220">
        <v>22491648</v>
      </c>
      <c r="F24" s="219">
        <v>31963031</v>
      </c>
      <c r="G24" s="232">
        <v>33405401</v>
      </c>
      <c r="H24" s="231">
        <f>'Anne-8'!O26</f>
        <v>1320155</v>
      </c>
      <c r="I24" s="219">
        <f>'Anne-7'!N26</f>
        <v>6869525</v>
      </c>
      <c r="J24" s="219">
        <f>'Anne-6'!Z26</f>
        <v>22594770</v>
      </c>
      <c r="K24" s="219">
        <f t="shared" si="0"/>
        <v>29464295</v>
      </c>
      <c r="L24" s="232">
        <f t="shared" si="1"/>
        <v>30784450</v>
      </c>
      <c r="M24" s="231">
        <v>1089917</v>
      </c>
      <c r="N24" s="219">
        <v>57261</v>
      </c>
      <c r="O24" s="221">
        <v>4630076</v>
      </c>
      <c r="P24" s="219">
        <v>4687337</v>
      </c>
      <c r="Q24" s="232">
        <v>5777254</v>
      </c>
      <c r="R24" s="231">
        <f>'Anne-8'!D26</f>
        <v>983646</v>
      </c>
      <c r="S24" s="219">
        <f>'Anne-7'!F26</f>
        <v>40433</v>
      </c>
      <c r="T24" s="219">
        <f>'Anne-6'!D26</f>
        <v>4391890</v>
      </c>
      <c r="U24" s="219">
        <f t="shared" si="2"/>
        <v>4432323</v>
      </c>
      <c r="V24" s="232">
        <f t="shared" si="3"/>
        <v>5415969</v>
      </c>
      <c r="W24" s="231">
        <f t="shared" si="4"/>
        <v>-122215</v>
      </c>
      <c r="X24" s="219">
        <f t="shared" si="4"/>
        <v>-2601858</v>
      </c>
      <c r="Y24" s="219">
        <f t="shared" si="4"/>
        <v>103122</v>
      </c>
      <c r="Z24" s="219">
        <f t="shared" si="5"/>
        <v>-2498736</v>
      </c>
      <c r="AA24" s="232">
        <f t="shared" si="6"/>
        <v>-2620951</v>
      </c>
      <c r="AB24" s="231">
        <f t="shared" si="7"/>
        <v>-106271</v>
      </c>
      <c r="AC24" s="219">
        <f t="shared" si="7"/>
        <v>-16828</v>
      </c>
      <c r="AD24" s="219">
        <f t="shared" si="7"/>
        <v>-238186</v>
      </c>
      <c r="AE24" s="219">
        <f t="shared" si="8"/>
        <v>-255014</v>
      </c>
      <c r="AF24" s="232">
        <f t="shared" si="9"/>
        <v>-361285</v>
      </c>
      <c r="AG24" s="239">
        <f t="shared" si="10"/>
        <v>-86.9541381990754</v>
      </c>
      <c r="AH24" s="218">
        <f t="shared" si="11"/>
        <v>0.6467685784543199</v>
      </c>
      <c r="AI24" s="218">
        <f t="shared" si="11"/>
        <v>-230.9749616958554</v>
      </c>
      <c r="AJ24" s="218">
        <f t="shared" si="11"/>
        <v>10.205720012038086</v>
      </c>
      <c r="AK24" s="243">
        <f t="shared" si="11"/>
        <v>13.784500358839216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1164307</v>
      </c>
      <c r="D25" s="219">
        <v>14060872</v>
      </c>
      <c r="E25" s="220">
        <v>35116323</v>
      </c>
      <c r="F25" s="219">
        <v>49177195</v>
      </c>
      <c r="G25" s="232">
        <v>50341502</v>
      </c>
      <c r="H25" s="231">
        <f>'Anne-8'!O27</f>
        <v>1011011</v>
      </c>
      <c r="I25" s="219">
        <f>'Anne-7'!N27</f>
        <v>11001510</v>
      </c>
      <c r="J25" s="219">
        <f>'Anne-6'!Z27</f>
        <v>37599620</v>
      </c>
      <c r="K25" s="219">
        <f t="shared" si="0"/>
        <v>48601130</v>
      </c>
      <c r="L25" s="232">
        <f t="shared" si="1"/>
        <v>49612141</v>
      </c>
      <c r="M25" s="231">
        <v>1046625</v>
      </c>
      <c r="N25" s="219">
        <v>207161</v>
      </c>
      <c r="O25" s="221">
        <v>5444689</v>
      </c>
      <c r="P25" s="219">
        <v>5651850</v>
      </c>
      <c r="Q25" s="232">
        <v>6698475</v>
      </c>
      <c r="R25" s="231">
        <f>'Anne-8'!D27</f>
        <v>887216</v>
      </c>
      <c r="S25" s="219">
        <f>'Anne-7'!F27</f>
        <v>178030</v>
      </c>
      <c r="T25" s="219">
        <f>'Anne-6'!D27</f>
        <v>5788422</v>
      </c>
      <c r="U25" s="219">
        <f t="shared" si="2"/>
        <v>5966452</v>
      </c>
      <c r="V25" s="232">
        <f t="shared" si="3"/>
        <v>6853668</v>
      </c>
      <c r="W25" s="231">
        <f t="shared" si="4"/>
        <v>-153296</v>
      </c>
      <c r="X25" s="219">
        <f t="shared" si="4"/>
        <v>-3059362</v>
      </c>
      <c r="Y25" s="219">
        <f t="shared" si="4"/>
        <v>2483297</v>
      </c>
      <c r="Z25" s="219">
        <f t="shared" si="5"/>
        <v>-576065</v>
      </c>
      <c r="AA25" s="232">
        <f t="shared" si="6"/>
        <v>-729361</v>
      </c>
      <c r="AB25" s="231">
        <f t="shared" si="7"/>
        <v>-159409</v>
      </c>
      <c r="AC25" s="219">
        <f t="shared" si="7"/>
        <v>-29131</v>
      </c>
      <c r="AD25" s="219">
        <f t="shared" si="7"/>
        <v>343733</v>
      </c>
      <c r="AE25" s="219">
        <f t="shared" si="8"/>
        <v>314602</v>
      </c>
      <c r="AF25" s="232">
        <f t="shared" si="9"/>
        <v>155193</v>
      </c>
      <c r="AG25" s="239">
        <f t="shared" si="10"/>
        <v>-103.98771005114288</v>
      </c>
      <c r="AH25" s="218">
        <f t="shared" si="11"/>
        <v>0.9521919929710835</v>
      </c>
      <c r="AI25" s="218">
        <f t="shared" si="11"/>
        <v>13.841799833044538</v>
      </c>
      <c r="AJ25" s="218">
        <f t="shared" si="11"/>
        <v>-54.61223993820143</v>
      </c>
      <c r="AK25" s="243">
        <f t="shared" si="11"/>
        <v>-21.277940553443354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1859512</v>
      </c>
      <c r="D26" s="219">
        <v>13039955</v>
      </c>
      <c r="E26" s="220">
        <v>51452554</v>
      </c>
      <c r="F26" s="219">
        <v>64492509</v>
      </c>
      <c r="G26" s="232">
        <v>66352021</v>
      </c>
      <c r="H26" s="231">
        <f>'Anne-8'!O28</f>
        <v>1779999</v>
      </c>
      <c r="I26" s="219">
        <f>'Anne-7'!N28</f>
        <v>11410521</v>
      </c>
      <c r="J26" s="219">
        <f>'Anne-6'!Z28</f>
        <v>47497972</v>
      </c>
      <c r="K26" s="219">
        <f t="shared" si="0"/>
        <v>58908493</v>
      </c>
      <c r="L26" s="232">
        <f t="shared" si="1"/>
        <v>60688492</v>
      </c>
      <c r="M26" s="231">
        <v>1665407</v>
      </c>
      <c r="N26" s="219">
        <v>417327</v>
      </c>
      <c r="O26" s="221">
        <v>7624774</v>
      </c>
      <c r="P26" s="219">
        <v>8042101</v>
      </c>
      <c r="Q26" s="232">
        <v>9707508</v>
      </c>
      <c r="R26" s="231">
        <f>'Anne-8'!D28</f>
        <v>1582503</v>
      </c>
      <c r="S26" s="219">
        <f>'Anne-7'!F28</f>
        <v>100909</v>
      </c>
      <c r="T26" s="219">
        <f>'Anne-6'!D28</f>
        <v>7927731</v>
      </c>
      <c r="U26" s="219">
        <f t="shared" si="2"/>
        <v>8028640</v>
      </c>
      <c r="V26" s="232">
        <f t="shared" si="3"/>
        <v>9611143</v>
      </c>
      <c r="W26" s="231">
        <f t="shared" si="4"/>
        <v>-79513</v>
      </c>
      <c r="X26" s="219">
        <f t="shared" si="4"/>
        <v>-1629434</v>
      </c>
      <c r="Y26" s="219">
        <f t="shared" si="4"/>
        <v>-3954582</v>
      </c>
      <c r="Z26" s="219">
        <f t="shared" si="5"/>
        <v>-5584016</v>
      </c>
      <c r="AA26" s="232">
        <f t="shared" si="6"/>
        <v>-5663529</v>
      </c>
      <c r="AB26" s="231">
        <f t="shared" si="7"/>
        <v>-82904</v>
      </c>
      <c r="AC26" s="219">
        <f t="shared" si="7"/>
        <v>-316418</v>
      </c>
      <c r="AD26" s="219">
        <f t="shared" si="7"/>
        <v>302957</v>
      </c>
      <c r="AE26" s="219">
        <f t="shared" si="8"/>
        <v>-13461</v>
      </c>
      <c r="AF26" s="232">
        <f t="shared" si="9"/>
        <v>-96365</v>
      </c>
      <c r="AG26" s="239">
        <f t="shared" si="10"/>
        <v>-104.2647114308352</v>
      </c>
      <c r="AH26" s="218">
        <f t="shared" si="11"/>
        <v>19.41889024041477</v>
      </c>
      <c r="AI26" s="218">
        <f t="shared" si="11"/>
        <v>-7.6609108118127285</v>
      </c>
      <c r="AJ26" s="218">
        <f t="shared" si="11"/>
        <v>0.24106306285655343</v>
      </c>
      <c r="AK26" s="243">
        <f t="shared" si="11"/>
        <v>1.7015009546168123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1272212</v>
      </c>
      <c r="D28" s="219">
        <v>18441295</v>
      </c>
      <c r="E28" s="220">
        <v>56658020</v>
      </c>
      <c r="F28" s="219">
        <v>75099315</v>
      </c>
      <c r="G28" s="232">
        <v>76371527</v>
      </c>
      <c r="H28" s="231">
        <f>'Anne-8'!O30</f>
        <v>1048303</v>
      </c>
      <c r="I28" s="219">
        <f>'Anne-7'!N30</f>
        <v>14726334</v>
      </c>
      <c r="J28" s="219">
        <f>'Anne-6'!Z30</f>
        <v>59097816</v>
      </c>
      <c r="K28" s="219">
        <f t="shared" si="0"/>
        <v>73824150</v>
      </c>
      <c r="L28" s="232">
        <f t="shared" si="1"/>
        <v>74872453</v>
      </c>
      <c r="M28" s="231">
        <v>1167606</v>
      </c>
      <c r="N28" s="219">
        <v>449328</v>
      </c>
      <c r="O28" s="221">
        <v>9667435</v>
      </c>
      <c r="P28" s="219">
        <v>10116763</v>
      </c>
      <c r="Q28" s="232">
        <v>11284369</v>
      </c>
      <c r="R28" s="231">
        <f>'Anne-8'!D30</f>
        <v>943196</v>
      </c>
      <c r="S28" s="219">
        <f>'Anne-7'!F30</f>
        <v>420339</v>
      </c>
      <c r="T28" s="219">
        <f>'Anne-6'!D30</f>
        <v>10014585</v>
      </c>
      <c r="U28" s="219">
        <f t="shared" si="2"/>
        <v>10434924</v>
      </c>
      <c r="V28" s="232">
        <f t="shared" si="3"/>
        <v>11378120</v>
      </c>
      <c r="W28" s="231">
        <f t="shared" si="4"/>
        <v>-223909</v>
      </c>
      <c r="X28" s="219">
        <f t="shared" si="4"/>
        <v>-3714961</v>
      </c>
      <c r="Y28" s="219">
        <f t="shared" si="4"/>
        <v>2439796</v>
      </c>
      <c r="Z28" s="219">
        <f t="shared" si="5"/>
        <v>-1275165</v>
      </c>
      <c r="AA28" s="232">
        <f t="shared" si="6"/>
        <v>-1499074</v>
      </c>
      <c r="AB28" s="231">
        <f t="shared" si="7"/>
        <v>-224410</v>
      </c>
      <c r="AC28" s="219">
        <f t="shared" si="7"/>
        <v>-28989</v>
      </c>
      <c r="AD28" s="219">
        <f t="shared" si="7"/>
        <v>347150</v>
      </c>
      <c r="AE28" s="219">
        <f t="shared" si="8"/>
        <v>318161</v>
      </c>
      <c r="AF28" s="232">
        <f t="shared" si="9"/>
        <v>93751</v>
      </c>
      <c r="AG28" s="239">
        <f t="shared" si="10"/>
        <v>-100.22375161337864</v>
      </c>
      <c r="AH28" s="218">
        <f t="shared" si="11"/>
        <v>0.7803312067071498</v>
      </c>
      <c r="AI28" s="218">
        <f t="shared" si="11"/>
        <v>14.228648624721082</v>
      </c>
      <c r="AJ28" s="218">
        <f t="shared" si="11"/>
        <v>-24.950575023624395</v>
      </c>
      <c r="AK28" s="243">
        <f t="shared" si="11"/>
        <v>-6.253927424530077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796836</v>
      </c>
      <c r="D29" s="219">
        <v>15259445</v>
      </c>
      <c r="E29" s="220">
        <v>38404703</v>
      </c>
      <c r="F29" s="219">
        <v>53664148</v>
      </c>
      <c r="G29" s="232">
        <v>54460984</v>
      </c>
      <c r="H29" s="231">
        <f>'Anne-8'!O31</f>
        <v>767118</v>
      </c>
      <c r="I29" s="219">
        <f>'Anne-7'!N31</f>
        <v>11210241</v>
      </c>
      <c r="J29" s="219">
        <f>'Anne-6'!Z31</f>
        <v>37189244</v>
      </c>
      <c r="K29" s="219">
        <f t="shared" si="0"/>
        <v>48399485</v>
      </c>
      <c r="L29" s="232">
        <f t="shared" si="1"/>
        <v>49166603</v>
      </c>
      <c r="M29" s="231">
        <v>759356</v>
      </c>
      <c r="N29" s="219">
        <v>155316</v>
      </c>
      <c r="O29" s="221">
        <v>4644821</v>
      </c>
      <c r="P29" s="219">
        <v>4800137</v>
      </c>
      <c r="Q29" s="232">
        <v>5559493</v>
      </c>
      <c r="R29" s="231">
        <f>'Anne-8'!D31</f>
        <v>728589</v>
      </c>
      <c r="S29" s="219">
        <f>'Anne-7'!F31</f>
        <v>134031</v>
      </c>
      <c r="T29" s="219">
        <f>'Anne-6'!D31</f>
        <v>4768705</v>
      </c>
      <c r="U29" s="219">
        <f t="shared" si="2"/>
        <v>4902736</v>
      </c>
      <c r="V29" s="232">
        <f t="shared" si="3"/>
        <v>5631325</v>
      </c>
      <c r="W29" s="231">
        <f t="shared" si="4"/>
        <v>-29718</v>
      </c>
      <c r="X29" s="219">
        <f t="shared" si="4"/>
        <v>-4049204</v>
      </c>
      <c r="Y29" s="219">
        <f t="shared" si="4"/>
        <v>-1215459</v>
      </c>
      <c r="Z29" s="219">
        <f t="shared" si="5"/>
        <v>-5264663</v>
      </c>
      <c r="AA29" s="232">
        <f t="shared" si="6"/>
        <v>-5294381</v>
      </c>
      <c r="AB29" s="231">
        <f t="shared" si="7"/>
        <v>-30767</v>
      </c>
      <c r="AC29" s="219">
        <f t="shared" si="7"/>
        <v>-21285</v>
      </c>
      <c r="AD29" s="219">
        <f t="shared" si="7"/>
        <v>123884</v>
      </c>
      <c r="AE29" s="219">
        <f t="shared" si="8"/>
        <v>102599</v>
      </c>
      <c r="AF29" s="232">
        <f t="shared" si="9"/>
        <v>71832</v>
      </c>
      <c r="AG29" s="239">
        <f>-(AB29)/W29*100</f>
        <v>-103.52984723063463</v>
      </c>
      <c r="AH29" s="218">
        <f t="shared" si="11"/>
        <v>0.5256588702372121</v>
      </c>
      <c r="AI29" s="218">
        <f t="shared" si="11"/>
        <v>-10.19236354331985</v>
      </c>
      <c r="AJ29" s="218">
        <f t="shared" si="11"/>
        <v>-1.9488236948879727</v>
      </c>
      <c r="AK29" s="427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680679</v>
      </c>
      <c r="D30" s="219">
        <v>6859723</v>
      </c>
      <c r="E30" s="220">
        <v>39413120</v>
      </c>
      <c r="F30" s="219">
        <v>46272843</v>
      </c>
      <c r="G30" s="232">
        <v>46953522</v>
      </c>
      <c r="H30" s="231">
        <f>'Anne-8'!O32</f>
        <v>548248</v>
      </c>
      <c r="I30" s="219">
        <f>'Anne-7'!N32</f>
        <v>4083473</v>
      </c>
      <c r="J30" s="219">
        <f>'Anne-6'!Z32</f>
        <v>37076386</v>
      </c>
      <c r="K30" s="219">
        <f t="shared" si="0"/>
        <v>41159859</v>
      </c>
      <c r="L30" s="232">
        <f t="shared" si="1"/>
        <v>41708107</v>
      </c>
      <c r="M30" s="231">
        <v>672411</v>
      </c>
      <c r="N30" s="219">
        <v>83559</v>
      </c>
      <c r="O30" s="221">
        <v>3514875</v>
      </c>
      <c r="P30" s="219">
        <v>3598434</v>
      </c>
      <c r="Q30" s="232">
        <v>4270845</v>
      </c>
      <c r="R30" s="231">
        <f>'Anne-8'!D32</f>
        <v>542345</v>
      </c>
      <c r="S30" s="219">
        <f>'Anne-7'!F32</f>
        <v>75773</v>
      </c>
      <c r="T30" s="219">
        <f>'Anne-6'!D32</f>
        <v>3533718</v>
      </c>
      <c r="U30" s="219">
        <f t="shared" si="2"/>
        <v>3609491</v>
      </c>
      <c r="V30" s="232">
        <f t="shared" si="3"/>
        <v>4151836</v>
      </c>
      <c r="W30" s="231">
        <f t="shared" si="4"/>
        <v>-132431</v>
      </c>
      <c r="X30" s="219">
        <f t="shared" si="4"/>
        <v>-2776250</v>
      </c>
      <c r="Y30" s="219">
        <f t="shared" si="4"/>
        <v>-2336734</v>
      </c>
      <c r="Z30" s="219">
        <f t="shared" si="5"/>
        <v>-5112984</v>
      </c>
      <c r="AA30" s="232">
        <f t="shared" si="6"/>
        <v>-5245415</v>
      </c>
      <c r="AB30" s="231">
        <f t="shared" si="7"/>
        <v>-130066</v>
      </c>
      <c r="AC30" s="219">
        <f t="shared" si="7"/>
        <v>-7786</v>
      </c>
      <c r="AD30" s="219">
        <f t="shared" si="7"/>
        <v>18843</v>
      </c>
      <c r="AE30" s="219">
        <f t="shared" si="8"/>
        <v>11057</v>
      </c>
      <c r="AF30" s="232">
        <f t="shared" si="9"/>
        <v>-119009</v>
      </c>
      <c r="AG30" s="239">
        <f t="shared" si="10"/>
        <v>-98.21416435728794</v>
      </c>
      <c r="AH30" s="218">
        <f t="shared" si="11"/>
        <v>0.2804502476361999</v>
      </c>
      <c r="AI30" s="218">
        <f t="shared" si="11"/>
        <v>-0.8063818988382931</v>
      </c>
      <c r="AJ30" s="218">
        <f t="shared" si="11"/>
        <v>-0.21625336594051536</v>
      </c>
      <c r="AK30" s="427" t="s">
        <v>130</v>
      </c>
    </row>
    <row r="31" spans="1:37" ht="18" customHeight="1">
      <c r="A31" s="246">
        <v>25</v>
      </c>
      <c r="B31" s="247" t="s">
        <v>45</v>
      </c>
      <c r="C31" s="220">
        <v>1182171</v>
      </c>
      <c r="D31" s="219">
        <v>6123555</v>
      </c>
      <c r="E31" s="220">
        <v>18866570</v>
      </c>
      <c r="F31" s="219">
        <v>24990125</v>
      </c>
      <c r="G31" s="232">
        <v>26172296</v>
      </c>
      <c r="H31" s="231">
        <f>'Anne-8'!O33</f>
        <v>1144255</v>
      </c>
      <c r="I31" s="219">
        <f>'Anne-7'!N33</f>
        <v>3764962</v>
      </c>
      <c r="J31" s="219">
        <f>'Anne-6'!Z33</f>
        <v>17495102</v>
      </c>
      <c r="K31" s="219">
        <f t="shared" si="0"/>
        <v>21260064</v>
      </c>
      <c r="L31" s="232">
        <f t="shared" si="1"/>
        <v>22404319</v>
      </c>
      <c r="M31" s="231">
        <v>975123</v>
      </c>
      <c r="N31" s="219">
        <v>36660</v>
      </c>
      <c r="O31" s="221">
        <v>2389618</v>
      </c>
      <c r="P31" s="219">
        <v>2426278</v>
      </c>
      <c r="Q31" s="232">
        <v>3401401</v>
      </c>
      <c r="R31" s="231">
        <f>'Anne-8'!D33</f>
        <v>930944</v>
      </c>
      <c r="S31" s="219">
        <f>'Anne-7'!F33</f>
        <v>24387</v>
      </c>
      <c r="T31" s="219">
        <f>'Anne-6'!D33</f>
        <v>2271492</v>
      </c>
      <c r="U31" s="219">
        <f t="shared" si="2"/>
        <v>2295879</v>
      </c>
      <c r="V31" s="232">
        <f t="shared" si="3"/>
        <v>3226823</v>
      </c>
      <c r="W31" s="231">
        <f t="shared" si="4"/>
        <v>-37916</v>
      </c>
      <c r="X31" s="219">
        <f t="shared" si="4"/>
        <v>-2358593</v>
      </c>
      <c r="Y31" s="219">
        <f t="shared" si="4"/>
        <v>-1371468</v>
      </c>
      <c r="Z31" s="219">
        <f t="shared" si="5"/>
        <v>-3730061</v>
      </c>
      <c r="AA31" s="232">
        <f t="shared" si="6"/>
        <v>-3767977</v>
      </c>
      <c r="AB31" s="231">
        <f t="shared" si="7"/>
        <v>-44179</v>
      </c>
      <c r="AC31" s="219">
        <f t="shared" si="7"/>
        <v>-12273</v>
      </c>
      <c r="AD31" s="219">
        <f t="shared" si="7"/>
        <v>-118126</v>
      </c>
      <c r="AE31" s="219">
        <f t="shared" si="8"/>
        <v>-130399</v>
      </c>
      <c r="AF31" s="232">
        <f t="shared" si="9"/>
        <v>-174578</v>
      </c>
      <c r="AG31" s="239">
        <f t="shared" si="10"/>
        <v>-116.51809262580441</v>
      </c>
      <c r="AH31" s="218">
        <f t="shared" si="11"/>
        <v>0.5203526000458748</v>
      </c>
      <c r="AI31" s="218">
        <f t="shared" si="11"/>
        <v>8.613106539853646</v>
      </c>
      <c r="AJ31" s="218">
        <f t="shared" si="11"/>
        <v>3.4958945711611684</v>
      </c>
      <c r="AK31" s="427" t="s">
        <v>130</v>
      </c>
    </row>
    <row r="32" spans="1:43" ht="18" customHeight="1">
      <c r="A32" s="246">
        <v>26</v>
      </c>
      <c r="B32" s="247" t="s">
        <v>46</v>
      </c>
      <c r="C32" s="220">
        <v>1331291</v>
      </c>
      <c r="D32" s="219">
        <v>2446412</v>
      </c>
      <c r="E32" s="220">
        <v>10757876</v>
      </c>
      <c r="F32" s="219">
        <v>13204288</v>
      </c>
      <c r="G32" s="232">
        <v>14535579</v>
      </c>
      <c r="H32" s="231">
        <f>'Anne-8'!O34</f>
        <v>1329576</v>
      </c>
      <c r="I32" s="219">
        <f>'Anne-7'!N34</f>
        <v>2288935</v>
      </c>
      <c r="J32" s="219">
        <f>'Anne-6'!Z34</f>
        <v>11214964</v>
      </c>
      <c r="K32" s="219">
        <f t="shared" si="0"/>
        <v>13503899</v>
      </c>
      <c r="L32" s="232">
        <f t="shared" si="1"/>
        <v>14833475</v>
      </c>
      <c r="M32" s="231">
        <v>827945</v>
      </c>
      <c r="N32" s="219">
        <v>21981</v>
      </c>
      <c r="O32" s="221">
        <v>1658232</v>
      </c>
      <c r="P32" s="219">
        <v>1680213</v>
      </c>
      <c r="Q32" s="232">
        <v>2508158</v>
      </c>
      <c r="R32" s="231">
        <f>'Anne-8'!D34</f>
        <v>816173</v>
      </c>
      <c r="S32" s="219">
        <f>'Anne-7'!F34</f>
        <v>15263</v>
      </c>
      <c r="T32" s="219">
        <f>'Anne-6'!D34</f>
        <v>1553995</v>
      </c>
      <c r="U32" s="219">
        <f t="shared" si="2"/>
        <v>1569258</v>
      </c>
      <c r="V32" s="232">
        <f t="shared" si="3"/>
        <v>2385431</v>
      </c>
      <c r="W32" s="231">
        <f t="shared" si="4"/>
        <v>-1715</v>
      </c>
      <c r="X32" s="219">
        <f t="shared" si="4"/>
        <v>-157477</v>
      </c>
      <c r="Y32" s="219">
        <f t="shared" si="4"/>
        <v>457088</v>
      </c>
      <c r="Z32" s="219">
        <f t="shared" si="5"/>
        <v>299611</v>
      </c>
      <c r="AA32" s="232">
        <f t="shared" si="6"/>
        <v>297896</v>
      </c>
      <c r="AB32" s="231">
        <f t="shared" si="7"/>
        <v>-11772</v>
      </c>
      <c r="AC32" s="219">
        <f t="shared" si="7"/>
        <v>-6718</v>
      </c>
      <c r="AD32" s="219">
        <f t="shared" si="7"/>
        <v>-104237</v>
      </c>
      <c r="AE32" s="219">
        <f t="shared" si="8"/>
        <v>-110955</v>
      </c>
      <c r="AF32" s="232">
        <f t="shared" si="9"/>
        <v>-122727</v>
      </c>
      <c r="AG32" s="427" t="s">
        <v>130</v>
      </c>
      <c r="AH32" s="218">
        <f t="shared" si="11"/>
        <v>4.2660197997167835</v>
      </c>
      <c r="AI32" s="218">
        <f t="shared" si="11"/>
        <v>-22.80458029963596</v>
      </c>
      <c r="AJ32" s="427" t="s">
        <v>130</v>
      </c>
      <c r="AK32" s="427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f aca="true" t="shared" si="12" ref="C33:AA33">SUM(C8:C32)</f>
        <v>26244002</v>
      </c>
      <c r="D33" s="233">
        <f t="shared" si="12"/>
        <v>195631382</v>
      </c>
      <c r="E33" s="233">
        <f t="shared" si="12"/>
        <v>645017937</v>
      </c>
      <c r="F33" s="233">
        <f t="shared" si="12"/>
        <v>840649319</v>
      </c>
      <c r="G33" s="233">
        <f t="shared" si="12"/>
        <v>866893321</v>
      </c>
      <c r="H33" s="233">
        <f t="shared" si="12"/>
        <v>24265365</v>
      </c>
      <c r="I33" s="222">
        <f t="shared" si="12"/>
        <v>148486698</v>
      </c>
      <c r="J33" s="222">
        <f t="shared" si="12"/>
        <v>648519316</v>
      </c>
      <c r="K33" s="222">
        <f t="shared" si="12"/>
        <v>797006014</v>
      </c>
      <c r="L33" s="234">
        <f t="shared" si="12"/>
        <v>821271379</v>
      </c>
      <c r="M33" s="233">
        <f t="shared" si="12"/>
        <v>22467732</v>
      </c>
      <c r="N33" s="222">
        <f t="shared" si="12"/>
        <v>4003914</v>
      </c>
      <c r="O33" s="222">
        <f t="shared" si="12"/>
        <v>94509074</v>
      </c>
      <c r="P33" s="222">
        <f t="shared" si="12"/>
        <v>98512988</v>
      </c>
      <c r="Q33" s="234">
        <f t="shared" si="12"/>
        <v>120980720</v>
      </c>
      <c r="R33" s="233">
        <f t="shared" si="12"/>
        <v>20446062</v>
      </c>
      <c r="S33" s="222">
        <f t="shared" si="12"/>
        <v>2701813</v>
      </c>
      <c r="T33" s="222">
        <f t="shared" si="12"/>
        <v>98504812</v>
      </c>
      <c r="U33" s="222">
        <f t="shared" si="12"/>
        <v>101206625</v>
      </c>
      <c r="V33" s="234">
        <f t="shared" si="12"/>
        <v>121652687</v>
      </c>
      <c r="W33" s="233">
        <f t="shared" si="12"/>
        <v>-1978637</v>
      </c>
      <c r="X33" s="222">
        <f t="shared" si="12"/>
        <v>-47144684</v>
      </c>
      <c r="Y33" s="222">
        <f t="shared" si="12"/>
        <v>3501379</v>
      </c>
      <c r="Z33" s="222">
        <f t="shared" si="12"/>
        <v>-43643305</v>
      </c>
      <c r="AA33" s="234">
        <f t="shared" si="12"/>
        <v>-45621942</v>
      </c>
      <c r="AB33" s="233">
        <f>SUM(AB8:AB32)</f>
        <v>-2021670</v>
      </c>
      <c r="AC33" s="222">
        <f>SUM(AC8:AC32)</f>
        <v>-1302101</v>
      </c>
      <c r="AD33" s="222">
        <f>SUM(AD8:AD32)</f>
        <v>3995738</v>
      </c>
      <c r="AE33" s="222">
        <f>SUM(AE8:AE32)</f>
        <v>2693637</v>
      </c>
      <c r="AF33" s="234">
        <f>SUM(AF8:AF32)</f>
        <v>671967</v>
      </c>
      <c r="AG33" s="239">
        <f t="shared" si="10"/>
        <v>-102.17488099130867</v>
      </c>
      <c r="AH33" s="223">
        <f t="shared" si="11"/>
        <v>2.7619253954486154</v>
      </c>
      <c r="AI33" s="223">
        <f t="shared" si="11"/>
        <v>114.11897997903111</v>
      </c>
      <c r="AJ33" s="223">
        <f t="shared" si="11"/>
        <v>-6.171936337085379</v>
      </c>
      <c r="AK33" s="427" t="s">
        <v>130</v>
      </c>
    </row>
    <row r="34" spans="1:37" ht="18" customHeight="1">
      <c r="A34" s="228">
        <v>27</v>
      </c>
      <c r="B34" s="238" t="s">
        <v>48</v>
      </c>
      <c r="C34" s="220">
        <v>2901405</v>
      </c>
      <c r="D34" s="219">
        <v>14654252</v>
      </c>
      <c r="E34" s="219">
        <v>28178930</v>
      </c>
      <c r="F34" s="219">
        <v>42833182</v>
      </c>
      <c r="G34" s="232">
        <v>45734587</v>
      </c>
      <c r="H34" s="231">
        <f>'Anne-8'!O36</f>
        <v>2956758</v>
      </c>
      <c r="I34" s="219">
        <f>'Anne-7'!N36</f>
        <v>12252819</v>
      </c>
      <c r="J34" s="219">
        <f>'Anne-6'!Z36</f>
        <v>28173610</v>
      </c>
      <c r="K34" s="219">
        <f t="shared" si="0"/>
        <v>40426429</v>
      </c>
      <c r="L34" s="232">
        <f t="shared" si="1"/>
        <v>43383187</v>
      </c>
      <c r="M34" s="239"/>
      <c r="N34" s="218"/>
      <c r="O34" s="224"/>
      <c r="P34" s="219">
        <f>SUM(N34:O34)</f>
        <v>0</v>
      </c>
      <c r="Q34" s="232">
        <f>P34+M34</f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55353</v>
      </c>
      <c r="X34" s="219">
        <f>I34-D34</f>
        <v>-2401433</v>
      </c>
      <c r="Y34" s="219">
        <f>J34-E34</f>
        <v>-5320</v>
      </c>
      <c r="Z34" s="219">
        <f>SUM(X34:Y34)</f>
        <v>-2406753</v>
      </c>
      <c r="AA34" s="232">
        <f>Z34+W34</f>
        <v>-2351400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3005733</v>
      </c>
      <c r="D35" s="219">
        <v>14054575</v>
      </c>
      <c r="E35" s="219">
        <v>22559732</v>
      </c>
      <c r="F35" s="219">
        <v>36614307</v>
      </c>
      <c r="G35" s="232">
        <v>39620040</v>
      </c>
      <c r="H35" s="231">
        <f>'Anne-8'!O37</f>
        <v>2985545</v>
      </c>
      <c r="I35" s="219">
        <f>'Anne-7'!N37</f>
        <v>10154685</v>
      </c>
      <c r="J35" s="219">
        <f>'Anne-6'!Z37</f>
        <v>20198977</v>
      </c>
      <c r="K35" s="219">
        <f t="shared" si="0"/>
        <v>30353662</v>
      </c>
      <c r="L35" s="232">
        <f t="shared" si="1"/>
        <v>33339207</v>
      </c>
      <c r="M35" s="239"/>
      <c r="N35" s="218"/>
      <c r="O35" s="224"/>
      <c r="P35" s="219">
        <f>SUM(N35:O35)</f>
        <v>0</v>
      </c>
      <c r="Q35" s="232">
        <f>P35+M35</f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-20188</v>
      </c>
      <c r="X35" s="219">
        <f>I35-D35</f>
        <v>-3899890</v>
      </c>
      <c r="Y35" s="219">
        <f>J35-E35</f>
        <v>-2360755</v>
      </c>
      <c r="Z35" s="219">
        <f>SUM(X35:Y35)</f>
        <v>-6260645</v>
      </c>
      <c r="AA35" s="232">
        <f>Z35+W35</f>
        <v>-6280833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f aca="true" t="shared" si="14" ref="C36:AF36">SUM(C33:C35)</f>
        <v>32151140</v>
      </c>
      <c r="D36" s="236">
        <f t="shared" si="14"/>
        <v>224340209</v>
      </c>
      <c r="E36" s="236">
        <f t="shared" si="14"/>
        <v>695756599</v>
      </c>
      <c r="F36" s="236">
        <f t="shared" si="14"/>
        <v>920096808</v>
      </c>
      <c r="G36" s="237">
        <f t="shared" si="14"/>
        <v>952247948</v>
      </c>
      <c r="H36" s="235">
        <f t="shared" si="14"/>
        <v>30207668</v>
      </c>
      <c r="I36" s="236">
        <f t="shared" si="14"/>
        <v>170894202</v>
      </c>
      <c r="J36" s="236">
        <f t="shared" si="14"/>
        <v>696891903</v>
      </c>
      <c r="K36" s="236">
        <f t="shared" si="14"/>
        <v>867786105</v>
      </c>
      <c r="L36" s="237">
        <f t="shared" si="14"/>
        <v>897993773</v>
      </c>
      <c r="M36" s="235">
        <f t="shared" si="14"/>
        <v>22467732</v>
      </c>
      <c r="N36" s="236">
        <f t="shared" si="14"/>
        <v>4003914</v>
      </c>
      <c r="O36" s="236">
        <f t="shared" si="14"/>
        <v>94509074</v>
      </c>
      <c r="P36" s="236">
        <f t="shared" si="14"/>
        <v>98512988</v>
      </c>
      <c r="Q36" s="237">
        <f t="shared" si="14"/>
        <v>120980720</v>
      </c>
      <c r="R36" s="235">
        <f t="shared" si="14"/>
        <v>20446062</v>
      </c>
      <c r="S36" s="236">
        <f t="shared" si="14"/>
        <v>2701813</v>
      </c>
      <c r="T36" s="236">
        <f t="shared" si="14"/>
        <v>98504812</v>
      </c>
      <c r="U36" s="236">
        <f t="shared" si="14"/>
        <v>101206625</v>
      </c>
      <c r="V36" s="237">
        <f t="shared" si="14"/>
        <v>121652687</v>
      </c>
      <c r="W36" s="235">
        <f t="shared" si="14"/>
        <v>-1943472</v>
      </c>
      <c r="X36" s="236">
        <f t="shared" si="14"/>
        <v>-53446007</v>
      </c>
      <c r="Y36" s="236">
        <f t="shared" si="14"/>
        <v>1135304</v>
      </c>
      <c r="Z36" s="236">
        <f t="shared" si="14"/>
        <v>-52310703</v>
      </c>
      <c r="AA36" s="237">
        <f t="shared" si="14"/>
        <v>-54254175</v>
      </c>
      <c r="AB36" s="235">
        <f t="shared" si="14"/>
        <v>-2021670</v>
      </c>
      <c r="AC36" s="236">
        <f t="shared" si="14"/>
        <v>-1302101</v>
      </c>
      <c r="AD36" s="236">
        <f t="shared" si="14"/>
        <v>3995738</v>
      </c>
      <c r="AE36" s="236">
        <f t="shared" si="14"/>
        <v>2693637</v>
      </c>
      <c r="AF36" s="237">
        <f t="shared" si="14"/>
        <v>671967</v>
      </c>
      <c r="AG36" s="252">
        <f t="shared" si="10"/>
        <v>-104.02362370026428</v>
      </c>
      <c r="AH36" s="244">
        <f t="shared" si="11"/>
        <v>2.436292387567887</v>
      </c>
      <c r="AI36" s="244">
        <f t="shared" si="11"/>
        <v>351.95313325770013</v>
      </c>
      <c r="AJ36" s="244">
        <f t="shared" si="11"/>
        <v>-5.149303766764519</v>
      </c>
      <c r="AK36" s="428" t="s">
        <v>130</v>
      </c>
    </row>
    <row r="39" ht="12.75">
      <c r="L39">
        <v>653927947</v>
      </c>
    </row>
    <row r="40" ht="12.75">
      <c r="L40" s="81">
        <f>L39-L36</f>
        <v>-244065826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100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45" sqref="L45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32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30th April 2013.</v>
      </c>
      <c r="I2" s="2"/>
      <c r="J2" s="2"/>
      <c r="K2" s="2"/>
    </row>
    <row r="3" ht="9" customHeight="1"/>
    <row r="4" spans="2:3" ht="15">
      <c r="B4" s="26" t="s">
        <v>239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29" t="s">
        <v>62</v>
      </c>
      <c r="B6" s="531" t="s">
        <v>63</v>
      </c>
      <c r="C6" s="529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28" t="s">
        <v>69</v>
      </c>
      <c r="U6" s="528" t="s">
        <v>70</v>
      </c>
      <c r="V6" s="528" t="s">
        <v>106</v>
      </c>
      <c r="W6" s="527" t="s">
        <v>121</v>
      </c>
      <c r="X6" s="525" t="s">
        <v>101</v>
      </c>
      <c r="Y6" s="47"/>
      <c r="Z6" s="80" t="s">
        <v>247</v>
      </c>
      <c r="AA6" s="48"/>
    </row>
    <row r="7" spans="1:27" ht="43.5" customHeight="1">
      <c r="A7" s="530"/>
      <c r="B7" s="531"/>
      <c r="C7" s="530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134</v>
      </c>
      <c r="P7" s="165" t="s">
        <v>144</v>
      </c>
      <c r="Q7" s="50" t="s">
        <v>190</v>
      </c>
      <c r="R7" s="50" t="s">
        <v>189</v>
      </c>
      <c r="S7" s="49" t="s">
        <v>188</v>
      </c>
      <c r="T7" s="528"/>
      <c r="U7" s="528"/>
      <c r="V7" s="528"/>
      <c r="W7" s="526"/>
      <c r="X7" s="526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381.0210334555205</v>
      </c>
      <c r="Z8" s="58">
        <v>148.86044424476816</v>
      </c>
      <c r="AA8" s="58">
        <v>232.1605892107524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2</v>
      </c>
      <c r="D9" s="36">
        <f>'Anne-6'!D10+'Anne-7'!F10+'Anne-8'!D10</f>
        <v>11228674</v>
      </c>
      <c r="E9" s="56"/>
      <c r="F9" s="36">
        <f>D9+E9</f>
        <v>11228674</v>
      </c>
      <c r="G9" s="84">
        <f>'Anne-6'!G10+'Anne-8'!H10</f>
        <v>18377708</v>
      </c>
      <c r="H9" s="8">
        <f>'Anne-6'!S10+'Anne-7'!I10+'Anne-8'!I10</f>
        <v>7109338</v>
      </c>
      <c r="I9" s="36">
        <f>'Anne-6'!I10+'Anne-8'!M10</f>
        <v>5871048</v>
      </c>
      <c r="J9" s="36">
        <f>G9-D9</f>
        <v>7149034</v>
      </c>
      <c r="K9" s="105">
        <f>J9/D9</f>
        <v>0.636676601351148</v>
      </c>
      <c r="L9" s="8">
        <f>'Anne-8'!J10+'Anne-7'!J10</f>
        <v>6756030</v>
      </c>
      <c r="M9" s="36">
        <f>'Anne-6'!N10</f>
        <v>11193280</v>
      </c>
      <c r="N9" s="36">
        <f>'Anne-6'!K10</f>
        <v>1762191</v>
      </c>
      <c r="O9" s="36">
        <f>'Anne-6'!V10</f>
        <v>4304686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55374281</v>
      </c>
      <c r="U9" s="36">
        <f t="shared" si="0"/>
        <v>66602955</v>
      </c>
      <c r="V9" s="139">
        <f>D9/U9*100</f>
        <v>16.85912284222224</v>
      </c>
      <c r="W9" s="57">
        <f>U9/(X9*1000)</f>
        <v>0.7779786538214004</v>
      </c>
      <c r="X9" s="59">
        <f>Y9</f>
        <v>85610.26022095712</v>
      </c>
      <c r="Y9" s="36">
        <f aca="true" t="shared" si="2" ref="Y9:Y37">Z9+AA9</f>
        <v>85610.26022095712</v>
      </c>
      <c r="Z9" s="58">
        <v>23729.606205341614</v>
      </c>
      <c r="AA9" s="58">
        <v>61880.65401561551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1430077</v>
      </c>
      <c r="E10" s="56"/>
      <c r="F10" s="36">
        <f aca="true" t="shared" si="3" ref="F10:F36">D10+E10</f>
        <v>1430077</v>
      </c>
      <c r="G10" s="84">
        <f>'Anne-6'!G11+'Anne-8'!H11</f>
        <v>3967502</v>
      </c>
      <c r="H10" s="84">
        <f>'Anne-6'!S11+'Anne-7'!I11+'Anne-8'!I11</f>
        <v>2952654</v>
      </c>
      <c r="I10" s="84">
        <f>'Anne-6'!I11+'Anne-8'!M11</f>
        <v>2330155</v>
      </c>
      <c r="J10" s="36"/>
      <c r="K10" s="36"/>
      <c r="L10" s="8">
        <f>'Anne-8'!J11+'Anne-7'!J11</f>
        <v>0</v>
      </c>
      <c r="M10" s="8">
        <f>'Anne-6'!N11</f>
        <v>394272</v>
      </c>
      <c r="N10" s="84">
        <f>'Anne-6'!K11</f>
        <v>3507159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13151742</v>
      </c>
      <c r="U10" s="36">
        <f t="shared" si="0"/>
        <v>14581819</v>
      </c>
      <c r="V10" s="139">
        <f>D10/U10*100</f>
        <v>9.80726067166243</v>
      </c>
      <c r="W10" s="57">
        <f aca="true" t="shared" si="4" ref="W10:W37">U10/(X10*1000)</f>
        <v>0.4576946427998012</v>
      </c>
      <c r="X10" s="59">
        <f aca="true" t="shared" si="5" ref="X10:X36">Y10</f>
        <v>31859.273927263745</v>
      </c>
      <c r="Y10" s="36">
        <f t="shared" si="2"/>
        <v>31859.273927263745</v>
      </c>
      <c r="Z10" s="58">
        <v>4764.0912431798815</v>
      </c>
      <c r="AA10" s="58">
        <v>27095.182684083862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4</v>
      </c>
      <c r="D11" s="36">
        <f>'Anne-6'!D12+'Anne-7'!F12+'Anne-8'!D12</f>
        <v>6285465</v>
      </c>
      <c r="E11" s="56"/>
      <c r="F11" s="36">
        <f t="shared" si="3"/>
        <v>6285465</v>
      </c>
      <c r="G11" s="84">
        <f>'Anne-6'!G12+'Anne-8'!H12</f>
        <v>19372211</v>
      </c>
      <c r="H11" s="84">
        <f>'Anne-6'!S12+'Anne-7'!I12+'Anne-8'!I12</f>
        <v>9543732</v>
      </c>
      <c r="I11" s="84">
        <f>'Anne-6'!I12+'Anne-8'!M12</f>
        <v>6769409</v>
      </c>
      <c r="J11" s="36">
        <f>G11-D11</f>
        <v>13086746</v>
      </c>
      <c r="K11" s="105">
        <f>J11/D11</f>
        <v>2.0820648909826085</v>
      </c>
      <c r="L11" s="8">
        <f>'Anne-8'!J12+'Anne-7'!J12</f>
        <v>3656674</v>
      </c>
      <c r="M11" s="36">
        <f>'Anne-6'!N12</f>
        <v>6040383</v>
      </c>
      <c r="N11" s="36">
        <f>'Anne-6'!K12</f>
        <v>4659654</v>
      </c>
      <c r="O11" s="36">
        <f>'Anne-6'!V12</f>
        <v>4349864</v>
      </c>
      <c r="P11" s="36">
        <f>'Anne-6'!W12</f>
        <v>18596</v>
      </c>
      <c r="Q11" s="36">
        <f>+'Anne-7'!L12+'Anne-8'!L12</f>
        <v>0</v>
      </c>
      <c r="R11" s="36"/>
      <c r="S11" s="36"/>
      <c r="T11" s="36">
        <f t="shared" si="1"/>
        <v>54410523</v>
      </c>
      <c r="U11" s="36">
        <f t="shared" si="0"/>
        <v>60695988</v>
      </c>
      <c r="V11" s="139">
        <f>D11/U11*100</f>
        <v>10.355651513572857</v>
      </c>
      <c r="W11" s="57">
        <f t="shared" si="4"/>
        <v>0.4282638386604931</v>
      </c>
      <c r="X11" s="59">
        <f>Y11+Y17</f>
        <v>141725.68991545617</v>
      </c>
      <c r="Y11" s="36">
        <f t="shared" si="2"/>
        <v>107693.81103567083</v>
      </c>
      <c r="Z11" s="58">
        <v>11329.230223564224</v>
      </c>
      <c r="AA11" s="58">
        <v>96364.58081210661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>
        <f>'Anne-6'!D13+'Anne-7'!F13+'Anne-8'!D13</f>
        <v>0</v>
      </c>
      <c r="E12" s="56"/>
      <c r="F12" s="36">
        <f t="shared" si="3"/>
        <v>0</v>
      </c>
      <c r="G12" s="8">
        <f>'Anne-6'!G13+'Anne-8'!H13</f>
        <v>0</v>
      </c>
      <c r="H12" s="36">
        <f>'Anne-6'!S13+'Anne-7'!I13+'Anne-8'!I13</f>
        <v>0</v>
      </c>
      <c r="I12" s="36">
        <f>'Anne-6'!I13+'Anne-8'!M13</f>
        <v>0</v>
      </c>
      <c r="J12" s="36"/>
      <c r="K12" s="36"/>
      <c r="L12" s="8">
        <f>'Anne-8'!J13+'Anne-7'!J13</f>
        <v>0</v>
      </c>
      <c r="M12" s="36">
        <f>'Anne-6'!N13</f>
        <v>0</v>
      </c>
      <c r="N12" s="36">
        <f>'Anne-6'!K13</f>
        <v>0</v>
      </c>
      <c r="O12" s="36">
        <f>'Anne-6'!V13</f>
        <v>0</v>
      </c>
      <c r="P12" s="36">
        <f>'Anne-6'!W13</f>
        <v>0</v>
      </c>
      <c r="Q12" s="36">
        <f>+'Anne-7'!L13+'Anne-8'!L13</f>
        <v>0</v>
      </c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26377.812599636203</v>
      </c>
      <c r="Z12" s="58">
        <v>6089.3622952412725</v>
      </c>
      <c r="AA12" s="58">
        <v>20288.45030439493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5864749</v>
      </c>
      <c r="E13" s="56"/>
      <c r="F13" s="36">
        <f t="shared" si="3"/>
        <v>5864749</v>
      </c>
      <c r="G13" s="84">
        <f>'Anne-6'!G14+'Anne-8'!H14</f>
        <v>7166043</v>
      </c>
      <c r="H13" s="84">
        <f>'Anne-6'!S14+'Anne-7'!I14+'Anne-8'!I14</f>
        <v>7120861</v>
      </c>
      <c r="I13" s="84">
        <f>'Anne-6'!I14+'Anne-8'!M14</f>
        <v>16062086</v>
      </c>
      <c r="J13" s="36">
        <f>I13-D13</f>
        <v>10197337</v>
      </c>
      <c r="K13" s="105">
        <f>J13/D13</f>
        <v>1.7387507973487015</v>
      </c>
      <c r="L13" s="8">
        <f>'Anne-8'!J14+'Anne-7'!J14</f>
        <v>2862764</v>
      </c>
      <c r="M13" s="84">
        <f>'Anne-6'!N14</f>
        <v>8510202</v>
      </c>
      <c r="N13" s="36">
        <f>'Anne-6'!K14</f>
        <v>185773</v>
      </c>
      <c r="O13" s="36">
        <f>'Anne-6'!V14</f>
        <v>4947807</v>
      </c>
      <c r="P13" s="36">
        <f>'Anne-6'!W14</f>
        <v>553599</v>
      </c>
      <c r="Q13" s="36">
        <f>+'Anne-7'!L14+'Anne-8'!L14</f>
        <v>211480</v>
      </c>
      <c r="R13" s="36"/>
      <c r="S13" s="36"/>
      <c r="T13" s="36">
        <f t="shared" si="1"/>
        <v>47620615</v>
      </c>
      <c r="U13" s="36">
        <f t="shared" si="0"/>
        <v>53485364</v>
      </c>
      <c r="V13" s="139">
        <f>D13/U13*100</f>
        <v>10.965147399950387</v>
      </c>
      <c r="W13" s="57">
        <f t="shared" si="4"/>
        <v>0.8541879238935081</v>
      </c>
      <c r="X13" s="59">
        <f t="shared" si="5"/>
        <v>62615.45323212511</v>
      </c>
      <c r="Y13" s="36">
        <f t="shared" si="2"/>
        <v>62615.45323212511</v>
      </c>
      <c r="Z13" s="58">
        <v>25243.967346584403</v>
      </c>
      <c r="AA13" s="58">
        <v>37371.48588554071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3614308</v>
      </c>
      <c r="E14" s="56"/>
      <c r="F14" s="36">
        <f t="shared" si="3"/>
        <v>3614308</v>
      </c>
      <c r="G14" s="8">
        <f>'Anne-6'!G15+'Anne-8'!H15</f>
        <v>2357702</v>
      </c>
      <c r="H14" s="8">
        <f>'Anne-6'!S15+'Anne-7'!I15+'Anne-8'!I15</f>
        <v>2277563</v>
      </c>
      <c r="I14" s="84">
        <f>'Anne-6'!I15+'Anne-8'!M15</f>
        <v>4633056</v>
      </c>
      <c r="J14" s="36"/>
      <c r="K14" s="36"/>
      <c r="L14" s="8">
        <f>'Anne-8'!J15+'Anne-7'!J15</f>
        <v>2668283</v>
      </c>
      <c r="M14" s="84">
        <f>'Anne-6'!N15</f>
        <v>3782688</v>
      </c>
      <c r="N14" s="36">
        <f>'Anne-6'!K15</f>
        <v>36092</v>
      </c>
      <c r="O14" s="36">
        <f>'Anne-6'!V15</f>
        <v>0</v>
      </c>
      <c r="P14" s="36">
        <f>'Anne-6'!W15</f>
        <v>734371</v>
      </c>
      <c r="Q14" s="36">
        <f>+'Anne-7'!L15+'Anne-8'!L15</f>
        <v>0</v>
      </c>
      <c r="R14" s="36"/>
      <c r="S14" s="36"/>
      <c r="T14" s="36">
        <f t="shared" si="1"/>
        <v>16489755</v>
      </c>
      <c r="U14" s="36">
        <f t="shared" si="0"/>
        <v>20104063</v>
      </c>
      <c r="V14" s="139">
        <f>D14/U14*100</f>
        <v>17.97799778084659</v>
      </c>
      <c r="W14" s="57">
        <f t="shared" si="4"/>
        <v>0.7715675289589414</v>
      </c>
      <c r="X14" s="59">
        <f t="shared" si="5"/>
        <v>26056.128913467826</v>
      </c>
      <c r="Y14" s="36">
        <f t="shared" si="2"/>
        <v>26056.128913467826</v>
      </c>
      <c r="Z14" s="58">
        <v>8763.561420796035</v>
      </c>
      <c r="AA14" s="58">
        <v>17292.56749267179</v>
      </c>
      <c r="AC14" s="73">
        <v>8555.999999999993</v>
      </c>
      <c r="AD14" s="73">
        <v>16883</v>
      </c>
      <c r="AO14">
        <v>20.876024789608948</v>
      </c>
    </row>
    <row r="15" spans="1:41" s="388" customFormat="1" ht="15">
      <c r="A15" s="383">
        <v>8</v>
      </c>
      <c r="B15" s="384" t="s">
        <v>28</v>
      </c>
      <c r="C15" s="383">
        <v>2</v>
      </c>
      <c r="D15" s="96">
        <f>'Anne-6'!D16+'Anne-7'!F16+'Anne-8'!D16</f>
        <v>1908104</v>
      </c>
      <c r="E15" s="390"/>
      <c r="F15" s="96">
        <f t="shared" si="3"/>
        <v>1908104</v>
      </c>
      <c r="G15" s="93">
        <f>'Anne-6'!G16+'Anne-8'!H16</f>
        <v>1978395</v>
      </c>
      <c r="H15" s="70">
        <f>'Anne-6'!S16+'Anne-7'!I16+'Anne-8'!I16</f>
        <v>1545770</v>
      </c>
      <c r="I15" s="36">
        <f>'Anne-6'!I16+'Anne-8'!M16</f>
        <v>497021</v>
      </c>
      <c r="J15" s="96"/>
      <c r="K15" s="96"/>
      <c r="L15" s="70">
        <f>'Anne-8'!J16+'Anne-7'!J16</f>
        <v>179755</v>
      </c>
      <c r="M15" s="96">
        <f>'Anne-6'!N16</f>
        <v>472124</v>
      </c>
      <c r="N15" s="96">
        <f>'Anne-6'!K16</f>
        <v>714843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5387908</v>
      </c>
      <c r="U15" s="96">
        <f t="shared" si="0"/>
        <v>7296012</v>
      </c>
      <c r="V15" s="391">
        <f>D15/U15*100</f>
        <v>26.1526982137639</v>
      </c>
      <c r="W15" s="392">
        <f t="shared" si="4"/>
        <v>1.049016749585612</v>
      </c>
      <c r="X15" s="393">
        <f t="shared" si="5"/>
        <v>6955.095810321532</v>
      </c>
      <c r="Y15" s="96">
        <f t="shared" si="2"/>
        <v>6955.095810321532</v>
      </c>
      <c r="Z15" s="86">
        <v>767.8966373827687</v>
      </c>
      <c r="AA15" s="86">
        <v>6187.199172938763</v>
      </c>
      <c r="AC15" s="394">
        <v>750.0000000000005</v>
      </c>
      <c r="AD15" s="394">
        <v>6042.999999999996</v>
      </c>
      <c r="AO15" s="388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1356314</v>
      </c>
      <c r="E16" s="56"/>
      <c r="F16" s="36">
        <f t="shared" si="3"/>
        <v>1356314</v>
      </c>
      <c r="G16" s="84">
        <f>'Anne-6'!G17+'Anne-8'!H17</f>
        <v>2382558</v>
      </c>
      <c r="H16" s="36">
        <f>'Anne-6'!S17+'Anne-7'!I17+'Anne-8'!I17</f>
        <v>624913</v>
      </c>
      <c r="I16" s="36">
        <f>'Anne-6'!I17+'Anne-8'!M17</f>
        <v>625770</v>
      </c>
      <c r="J16" s="36"/>
      <c r="K16" s="36"/>
      <c r="L16" s="8">
        <f>'Anne-8'!J17+'Anne-7'!J17</f>
        <v>0</v>
      </c>
      <c r="M16" s="36">
        <f>'Anne-6'!N17</f>
        <v>224253</v>
      </c>
      <c r="N16" s="84">
        <f>'Anne-6'!K17</f>
        <v>1827610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5685104</v>
      </c>
      <c r="U16" s="36">
        <f t="shared" si="0"/>
        <v>7041418</v>
      </c>
      <c r="V16" s="139">
        <f>D16/U16*100</f>
        <v>19.261944114097474</v>
      </c>
      <c r="W16" s="57">
        <f t="shared" si="4"/>
        <v>0.5421918838034535</v>
      </c>
      <c r="X16" s="59">
        <f t="shared" si="5"/>
        <v>12986.948367070243</v>
      </c>
      <c r="Y16" s="36">
        <f t="shared" si="2"/>
        <v>12986.948367070243</v>
      </c>
      <c r="Z16" s="58">
        <v>3483.3571187661555</v>
      </c>
      <c r="AA16" s="58">
        <v>9503.591248304087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>
        <f>'Anne-6'!D18+'Anne-7'!F18+'Anne-8'!D18</f>
        <v>0</v>
      </c>
      <c r="E17" s="56"/>
      <c r="F17" s="36">
        <f t="shared" si="3"/>
        <v>0</v>
      </c>
      <c r="G17" s="8">
        <f>'Anne-6'!G18+'Anne-8'!H18</f>
        <v>0</v>
      </c>
      <c r="H17" s="36">
        <f>'Anne-6'!S18+'Anne-7'!I18+'Anne-8'!I18</f>
        <v>0</v>
      </c>
      <c r="I17" s="36">
        <f>'Anne-6'!I18+'Anne-8'!M18</f>
        <v>0</v>
      </c>
      <c r="J17" s="36"/>
      <c r="K17" s="36"/>
      <c r="L17" s="8">
        <f>'Anne-8'!J18+'Anne-7'!J18</f>
        <v>0</v>
      </c>
      <c r="M17" s="36">
        <f>'Anne-6'!N18</f>
        <v>0</v>
      </c>
      <c r="N17" s="36">
        <f>'Anne-6'!K18</f>
        <v>0</v>
      </c>
      <c r="O17" s="36">
        <f>'Anne-6'!V18</f>
        <v>0</v>
      </c>
      <c r="P17" s="36">
        <f>'Anne-6'!W18</f>
        <v>0</v>
      </c>
      <c r="Q17" s="36">
        <f>+'Anne-7'!L18+'Anne-8'!L18</f>
        <v>0</v>
      </c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34031.87887978533</v>
      </c>
      <c r="Z17" s="58">
        <v>7926.209716218432</v>
      </c>
      <c r="AA17" s="58">
        <v>26105.669163566894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8818256</v>
      </c>
      <c r="E18" s="56"/>
      <c r="F18" s="36">
        <f t="shared" si="3"/>
        <v>8818256</v>
      </c>
      <c r="G18" s="84">
        <f>'Anne-6'!G19+'Anne-8'!H19</f>
        <v>16722611</v>
      </c>
      <c r="H18" s="8">
        <f>'Anne-6'!S19+'Anne-7'!I19+'Anne-8'!I19</f>
        <v>6906310</v>
      </c>
      <c r="I18" s="36">
        <f>'Anne-6'!I19+'Anne-8'!M19</f>
        <v>6841695</v>
      </c>
      <c r="J18" s="36">
        <f>G18-D18</f>
        <v>7904355</v>
      </c>
      <c r="K18" s="105">
        <f>J18/D18</f>
        <v>0.8963626141041947</v>
      </c>
      <c r="L18" s="8">
        <f>'Anne-8'!J19+'Anne-7'!J19</f>
        <v>6112503</v>
      </c>
      <c r="M18" s="36">
        <f>'Anne-6'!N19</f>
        <v>6245950</v>
      </c>
      <c r="N18" s="36">
        <f>'Anne-6'!K19</f>
        <v>1683304</v>
      </c>
      <c r="O18" s="36">
        <f>'Anne-6'!V19</f>
        <v>0</v>
      </c>
      <c r="P18" s="36">
        <f>'Anne-6'!W19</f>
        <v>0</v>
      </c>
      <c r="Q18" s="36">
        <f>+'Anne-7'!L19+'Anne-8'!L19</f>
        <v>2027374</v>
      </c>
      <c r="R18" s="36"/>
      <c r="S18" s="36"/>
      <c r="T18" s="36">
        <f t="shared" si="1"/>
        <v>46539747</v>
      </c>
      <c r="U18" s="36">
        <f t="shared" si="0"/>
        <v>55358003</v>
      </c>
      <c r="V18" s="139">
        <f>D18/U18*100</f>
        <v>15.9295052605131</v>
      </c>
      <c r="W18" s="57">
        <f t="shared" si="4"/>
        <v>0.8880167339531443</v>
      </c>
      <c r="X18" s="59">
        <f t="shared" si="5"/>
        <v>62338.91872010706</v>
      </c>
      <c r="Y18" s="36">
        <f t="shared" si="2"/>
        <v>62338.91872010706</v>
      </c>
      <c r="Z18" s="58">
        <v>23183.921403539684</v>
      </c>
      <c r="AA18" s="58">
        <v>39154.99731656737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10666661</v>
      </c>
      <c r="E19" s="56"/>
      <c r="F19" s="36">
        <f t="shared" si="3"/>
        <v>10666661</v>
      </c>
      <c r="G19" s="8">
        <f>'Anne-6'!G20+'Anne-8'!H20</f>
        <v>3558308</v>
      </c>
      <c r="H19" s="36">
        <f>'Anne-6'!S20+'Anne-7'!I20+'Anne-8'!I20</f>
        <v>2994725</v>
      </c>
      <c r="I19" s="36">
        <f>'Anne-6'!I20+'Anne-8'!M20</f>
        <v>6202153</v>
      </c>
      <c r="J19" s="36"/>
      <c r="K19" s="36"/>
      <c r="L19" s="8">
        <f>'Anne-8'!J20+'Anne-7'!J20</f>
        <v>1829160</v>
      </c>
      <c r="M19" s="36">
        <f>'Anne-6'!N20</f>
        <v>7921428</v>
      </c>
      <c r="N19" s="36">
        <f>'Anne-6'!K20</f>
        <v>104883</v>
      </c>
      <c r="O19" s="36">
        <f>'Anne-6'!V20</f>
        <v>0</v>
      </c>
      <c r="P19" s="36">
        <f>'Anne-6'!W20</f>
        <v>0</v>
      </c>
      <c r="Q19" s="36">
        <f>+'Anne-7'!L20+'Anne-8'!L20</f>
        <v>480168</v>
      </c>
      <c r="R19" s="36"/>
      <c r="S19" s="36"/>
      <c r="T19" s="36">
        <f t="shared" si="1"/>
        <v>23090825</v>
      </c>
      <c r="U19" s="36">
        <f t="shared" si="0"/>
        <v>33757486</v>
      </c>
      <c r="V19" s="139">
        <f>D19/U19*100</f>
        <v>31.597912830357096</v>
      </c>
      <c r="W19" s="57">
        <f t="shared" si="4"/>
        <v>1.0097222770565948</v>
      </c>
      <c r="X19" s="59">
        <f t="shared" si="5"/>
        <v>33432.44649251994</v>
      </c>
      <c r="Y19" s="36">
        <f t="shared" si="2"/>
        <v>33432.44649251994</v>
      </c>
      <c r="Z19" s="58">
        <v>8542.699959735963</v>
      </c>
      <c r="AA19" s="58">
        <v>24889.74653278398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6080141</v>
      </c>
      <c r="E20" s="56"/>
      <c r="F20" s="36">
        <f t="shared" si="3"/>
        <v>6080141</v>
      </c>
      <c r="G20" s="84">
        <f>'Anne-6'!G21+'Anne-8'!H21</f>
        <v>10362018</v>
      </c>
      <c r="H20" s="84">
        <f>'Anne-6'!S21+'Anne-7'!I21+'Anne-8'!I21</f>
        <v>12289855</v>
      </c>
      <c r="I20" s="36">
        <f>'Anne-6'!I21+'Anne-8'!M21</f>
        <v>4308322</v>
      </c>
      <c r="J20" s="36">
        <f>H20-D20</f>
        <v>6209714</v>
      </c>
      <c r="K20" s="105">
        <f>J20/D20</f>
        <v>1.021310854468671</v>
      </c>
      <c r="L20" s="8">
        <f>'Anne-8'!J21+'Anne-7'!J21</f>
        <v>3903328</v>
      </c>
      <c r="M20" s="84">
        <f>'Anne-6'!N21</f>
        <v>15558619</v>
      </c>
      <c r="N20" s="36">
        <f>'Anne-6'!K21</f>
        <v>97694</v>
      </c>
      <c r="O20" s="36">
        <f>'Anne-6'!V21</f>
        <v>0</v>
      </c>
      <c r="P20" s="36">
        <f>'Anne-6'!W21</f>
        <v>684665</v>
      </c>
      <c r="Q20" s="36">
        <f>+'Anne-7'!L21+'Anne-8'!L21</f>
        <v>0</v>
      </c>
      <c r="R20" s="36"/>
      <c r="S20" s="36"/>
      <c r="T20" s="36">
        <f t="shared" si="1"/>
        <v>47204501</v>
      </c>
      <c r="U20" s="36">
        <f t="shared" si="0"/>
        <v>53284642</v>
      </c>
      <c r="V20" s="139">
        <f>D20/U20*100</f>
        <v>11.41068189967383</v>
      </c>
      <c r="W20" s="57">
        <f t="shared" si="4"/>
        <v>0.5273450844021293</v>
      </c>
      <c r="X20" s="59">
        <f>Y20+Y12</f>
        <v>101043.21359212208</v>
      </c>
      <c r="Y20" s="36">
        <f>Z20+AA20</f>
        <v>74665.40099248587</v>
      </c>
      <c r="Z20" s="58">
        <v>20668.45850742137</v>
      </c>
      <c r="AA20" s="58">
        <v>53996.942485064494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8921647</v>
      </c>
      <c r="E21" s="56"/>
      <c r="F21" s="36">
        <f t="shared" si="3"/>
        <v>8921647</v>
      </c>
      <c r="G21" s="84">
        <f>'Anne-6'!G22+'Anne-8'!H22</f>
        <v>10162551</v>
      </c>
      <c r="H21" s="8">
        <f>'Anne-6'!S22+'Anne-7'!I22+'Anne-8'!I22</f>
        <v>8080398</v>
      </c>
      <c r="I21" s="84">
        <f>'Anne-6'!I22+'Anne-8'!M22</f>
        <v>13450517</v>
      </c>
      <c r="J21" s="36"/>
      <c r="K21" s="36"/>
      <c r="L21" s="8">
        <f>'Anne-8'!J22+'Anne-7'!J22</f>
        <v>6476266</v>
      </c>
      <c r="M21" s="84">
        <f>'Anne-6'!N22</f>
        <v>16386735</v>
      </c>
      <c r="N21" s="36">
        <f>'Anne-6'!K22</f>
        <v>1189688</v>
      </c>
      <c r="O21" s="36">
        <f>'Anne-6'!V22</f>
        <v>5582082</v>
      </c>
      <c r="P21" s="36">
        <f>'Anne-6'!W22</f>
        <v>0</v>
      </c>
      <c r="Q21" s="36">
        <f>+'Anne-7'!L22+'Anne-8'!L22</f>
        <v>616917</v>
      </c>
      <c r="R21" s="36"/>
      <c r="S21" s="36"/>
      <c r="T21" s="36">
        <f t="shared" si="1"/>
        <v>61945154</v>
      </c>
      <c r="U21" s="36">
        <f t="shared" si="0"/>
        <v>70866801</v>
      </c>
      <c r="V21" s="139">
        <f>D21/U21*100</f>
        <v>12.589318092684895</v>
      </c>
      <c r="W21" s="57">
        <f t="shared" si="4"/>
        <v>0.7707949972162205</v>
      </c>
      <c r="X21" s="59">
        <f t="shared" si="5"/>
        <v>91939.88188291356</v>
      </c>
      <c r="Y21" s="36">
        <f t="shared" si="2"/>
        <v>91939.88188291356</v>
      </c>
      <c r="Z21" s="58">
        <v>31684.072756257803</v>
      </c>
      <c r="AA21" s="58">
        <v>60255.80912665575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1946482</v>
      </c>
      <c r="E22" s="56"/>
      <c r="F22" s="36">
        <f t="shared" si="3"/>
        <v>1946482</v>
      </c>
      <c r="G22" s="84">
        <f>'Anne-6'!G23+'Anne-8'!H23</f>
        <v>2730003</v>
      </c>
      <c r="H22" s="36">
        <f>'Anne-6'!S23+'Anne-7'!I23+'Anne-8'!I23</f>
        <v>857127</v>
      </c>
      <c r="I22" s="36">
        <f>'Anne-6'!I23+'Anne-8'!M23</f>
        <v>997941</v>
      </c>
      <c r="J22" s="36"/>
      <c r="K22" s="36"/>
      <c r="L22" s="8">
        <f>'Anne-8'!J23+'Anne-7'!J23</f>
        <v>0</v>
      </c>
      <c r="M22" s="36">
        <f>'Anne-6'!N23</f>
        <v>294709</v>
      </c>
      <c r="N22" s="84">
        <f>'Anne-6'!K23</f>
        <v>2324164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7203944</v>
      </c>
      <c r="U22" s="36">
        <f t="shared" si="0"/>
        <v>9150426</v>
      </c>
      <c r="V22" s="139">
        <f>D22/U22*100</f>
        <v>21.272036952159386</v>
      </c>
      <c r="W22" s="57">
        <f t="shared" si="4"/>
        <v>0.6470473604137597</v>
      </c>
      <c r="X22" s="59">
        <f>Y22+Y23</f>
        <v>14141.817987092454</v>
      </c>
      <c r="Y22" s="36">
        <f t="shared" si="2"/>
        <v>7954.8201836254775</v>
      </c>
      <c r="Z22" s="58">
        <v>1934.5999645579977</v>
      </c>
      <c r="AA22" s="58">
        <v>6020.22021906748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>
        <f>'Anne-6'!D24+'Anne-7'!F24+'Anne-8'!D24</f>
        <v>0</v>
      </c>
      <c r="E23" s="56"/>
      <c r="F23" s="36">
        <f t="shared" si="3"/>
        <v>0</v>
      </c>
      <c r="G23" s="8">
        <f>'Anne-6'!G24+'Anne-8'!H24</f>
        <v>0</v>
      </c>
      <c r="H23" s="36">
        <f>'Anne-6'!S24+'Anne-7'!I24+'Anne-8'!I24</f>
        <v>0</v>
      </c>
      <c r="I23" s="36">
        <f>'Anne-6'!I24+'Anne-8'!M24</f>
        <v>0</v>
      </c>
      <c r="J23" s="36"/>
      <c r="K23" s="36"/>
      <c r="L23" s="8">
        <f>'Anne-8'!J24+'Anne-7'!J24</f>
        <v>0</v>
      </c>
      <c r="M23" s="36">
        <f>'Anne-6'!N24</f>
        <v>0</v>
      </c>
      <c r="N23" s="36">
        <f>'Anne-6'!K24</f>
        <v>0</v>
      </c>
      <c r="O23" s="36">
        <f>'Anne-6'!V24</f>
        <v>0</v>
      </c>
      <c r="P23" s="36">
        <f>'Anne-6'!W24</f>
        <v>0</v>
      </c>
      <c r="Q23" s="36">
        <f>+'Anne-7'!L24+'Anne-8'!L24</f>
        <v>0</v>
      </c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6186.997803466977</v>
      </c>
      <c r="Z23" s="58">
        <v>1470.9615926074027</v>
      </c>
      <c r="AA23" s="58">
        <v>4716.036210859574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4877494</v>
      </c>
      <c r="E24" s="56"/>
      <c r="F24" s="36">
        <f t="shared" si="3"/>
        <v>4877494</v>
      </c>
      <c r="G24" s="84">
        <f>'Anne-6'!G25+'Anne-8'!H25</f>
        <v>6929384</v>
      </c>
      <c r="H24" s="8">
        <f>'Anne-6'!S25+'Anne-7'!I25+'Anne-8'!I25</f>
        <v>4000427</v>
      </c>
      <c r="I24" s="36">
        <f>'Anne-6'!I25+'Anne-8'!M25</f>
        <v>3048444</v>
      </c>
      <c r="J24" s="36"/>
      <c r="K24" s="36"/>
      <c r="L24" s="8">
        <f>'Anne-8'!J25+'Anne-7'!J25</f>
        <v>2093676</v>
      </c>
      <c r="M24" s="36">
        <f>'Anne-6'!N25</f>
        <v>1096141</v>
      </c>
      <c r="N24" s="36">
        <f>'Anne-6'!K25</f>
        <v>2930796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20098868</v>
      </c>
      <c r="U24" s="36">
        <f t="shared" si="0"/>
        <v>24976362</v>
      </c>
      <c r="V24" s="139">
        <f>D24/U24*100</f>
        <v>19.528440531090958</v>
      </c>
      <c r="W24" s="57">
        <f t="shared" si="4"/>
        <v>0.5857202594837911</v>
      </c>
      <c r="X24" s="59">
        <f t="shared" si="5"/>
        <v>42642.134356104136</v>
      </c>
      <c r="Y24" s="36">
        <f t="shared" si="2"/>
        <v>42642.134356104136</v>
      </c>
      <c r="Z24" s="58">
        <v>7149.2285133963915</v>
      </c>
      <c r="AA24" s="58">
        <v>35492.90584270775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5415969</v>
      </c>
      <c r="E25" s="56"/>
      <c r="F25" s="36">
        <f t="shared" si="3"/>
        <v>5415969</v>
      </c>
      <c r="G25" s="84">
        <f>'Anne-6'!G26+'Anne-8'!H26</f>
        <v>7129905</v>
      </c>
      <c r="H25" s="36">
        <f>'Anne-6'!S26+'Anne-7'!I26+'Anne-8'!I26</f>
        <v>3073583</v>
      </c>
      <c r="I25" s="36">
        <f>'Anne-6'!I26+'Anne-8'!M26</f>
        <v>4448499</v>
      </c>
      <c r="J25" s="36"/>
      <c r="K25" s="36"/>
      <c r="L25" s="8">
        <f>'Anne-8'!J26+'Anne-7'!J26</f>
        <v>2430367</v>
      </c>
      <c r="M25" s="84">
        <f>'Anne-6'!N26</f>
        <v>5791458</v>
      </c>
      <c r="N25" s="36">
        <f>'Anne-6'!K26</f>
        <v>939369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1555300</v>
      </c>
      <c r="S25" s="36"/>
      <c r="T25" s="36">
        <f t="shared" si="1"/>
        <v>25368481</v>
      </c>
      <c r="U25" s="36">
        <f t="shared" si="0"/>
        <v>30784450</v>
      </c>
      <c r="V25" s="139">
        <f>D25/U25*100</f>
        <v>17.593197214827615</v>
      </c>
      <c r="W25" s="57">
        <f t="shared" si="4"/>
        <v>1.0532246821851925</v>
      </c>
      <c r="X25" s="59">
        <f>Y25</f>
        <v>29228.75861219805</v>
      </c>
      <c r="Y25" s="36">
        <f t="shared" si="2"/>
        <v>29228.75861219805</v>
      </c>
      <c r="Z25" s="60">
        <v>12019.36828080255</v>
      </c>
      <c r="AA25" s="60">
        <v>17209.390331395498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6853668</v>
      </c>
      <c r="E26" s="56"/>
      <c r="F26" s="36">
        <f t="shared" si="3"/>
        <v>6853668</v>
      </c>
      <c r="G26" s="84">
        <f>'Anne-6'!G27+'Anne-8'!H27</f>
        <v>14778523</v>
      </c>
      <c r="H26" s="8">
        <f>'Anne-6'!S27+'Anne-7'!I27+'Anne-8'!I27</f>
        <v>5732413</v>
      </c>
      <c r="I26" s="84">
        <f>'Anne-6'!I27+'Anne-8'!M27</f>
        <v>8962323</v>
      </c>
      <c r="J26" s="36">
        <f>G26-D26</f>
        <v>7924855</v>
      </c>
      <c r="K26" s="105">
        <f>J26/D26</f>
        <v>1.1562939728040518</v>
      </c>
      <c r="L26" s="8">
        <f>'Anne-8'!J27+'Anne-7'!J27</f>
        <v>2902935</v>
      </c>
      <c r="M26" s="36">
        <f>'Anne-6'!N27</f>
        <v>5144489</v>
      </c>
      <c r="N26" s="36">
        <f>'Anne-6'!K27</f>
        <v>2965515</v>
      </c>
      <c r="O26" s="36">
        <f>'Anne-6'!V27</f>
        <v>0</v>
      </c>
      <c r="P26" s="36">
        <f>'Anne-6'!W27</f>
        <v>0</v>
      </c>
      <c r="Q26" s="36">
        <f>+'Anne-7'!L27+'Anne-8'!L27</f>
        <v>2272275</v>
      </c>
      <c r="R26" s="36"/>
      <c r="S26" s="36"/>
      <c r="T26" s="36">
        <f t="shared" si="1"/>
        <v>42758473</v>
      </c>
      <c r="U26" s="36">
        <f t="shared" si="0"/>
        <v>49612141</v>
      </c>
      <c r="V26" s="139">
        <f>D26/U26*100</f>
        <v>13.814497544058824</v>
      </c>
      <c r="W26" s="57">
        <f t="shared" si="4"/>
        <v>0.7015003916285715</v>
      </c>
      <c r="X26" s="59">
        <f t="shared" si="5"/>
        <v>70722.89850733042</v>
      </c>
      <c r="Y26" s="36">
        <f t="shared" si="2"/>
        <v>70722.89850733042</v>
      </c>
      <c r="Z26" s="58">
        <v>16906.557560023044</v>
      </c>
      <c r="AA26" s="58">
        <v>53816.340947307384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9611143</v>
      </c>
      <c r="E27" s="56"/>
      <c r="F27" s="36">
        <f t="shared" si="3"/>
        <v>9611143</v>
      </c>
      <c r="G27" s="84">
        <f>'Anne-6'!G28+'Anne-8'!H28</f>
        <v>9960937</v>
      </c>
      <c r="H27" s="36">
        <f>'Anne-6'!S28+'Anne-7'!I28+'Anne-8'!I28</f>
        <v>6194555</v>
      </c>
      <c r="I27" s="84">
        <f>'Anne-6'!I28+'Anne-8'!M28</f>
        <v>10109189</v>
      </c>
      <c r="J27" s="36"/>
      <c r="K27" s="36"/>
      <c r="L27" s="8">
        <f>'Anne-8'!J28+'Anne-7'!J28</f>
        <v>3972253</v>
      </c>
      <c r="M27" s="36">
        <f>'Anne-6'!N28</f>
        <v>2308196</v>
      </c>
      <c r="N27" s="84">
        <f>'Anne-6'!K28</f>
        <v>17341782</v>
      </c>
      <c r="O27" s="36">
        <f>'Anne-6'!V28</f>
        <v>0</v>
      </c>
      <c r="P27" s="36">
        <f>'Anne-6'!W28</f>
        <v>0</v>
      </c>
      <c r="Q27" s="36">
        <f>+'Anne-7'!L28+'Anne-8'!L28</f>
        <v>1190437</v>
      </c>
      <c r="R27" s="36"/>
      <c r="S27" s="36"/>
      <c r="T27" s="36">
        <f t="shared" si="1"/>
        <v>51077349</v>
      </c>
      <c r="U27" s="36">
        <f t="shared" si="0"/>
        <v>60688492</v>
      </c>
      <c r="V27" s="139">
        <f>D27/U27*100</f>
        <v>15.83684597073198</v>
      </c>
      <c r="W27" s="57">
        <f t="shared" si="4"/>
        <v>0.9643369578249106</v>
      </c>
      <c r="X27" s="59">
        <f t="shared" si="5"/>
        <v>62932.869582106054</v>
      </c>
      <c r="Y27" s="36">
        <f t="shared" si="2"/>
        <v>62932.869582106054</v>
      </c>
      <c r="Z27" s="58">
        <v>29041.259762003236</v>
      </c>
      <c r="AA27" s="58">
        <v>33891.609820102814</v>
      </c>
      <c r="AC27" s="73">
        <v>28884.322622685115</v>
      </c>
      <c r="AD27" s="73">
        <v>31167.000000000015</v>
      </c>
      <c r="AE27">
        <f>Z27/Z34*AC34</f>
        <v>27976.003541241218</v>
      </c>
      <c r="AG27" s="83">
        <f>AC27-AE27</f>
        <v>908.3190814438967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>
        <f>'Anne-6'!D29+'Anne-7'!F29+'Anne-8'!D29</f>
        <v>0</v>
      </c>
      <c r="E28" s="56"/>
      <c r="F28" s="36">
        <f t="shared" si="3"/>
        <v>0</v>
      </c>
      <c r="G28" s="8">
        <f>'Anne-6'!G29+'Anne-8'!H29</f>
        <v>0</v>
      </c>
      <c r="H28" s="36">
        <f>'Anne-6'!S29+'Anne-7'!I29+'Anne-8'!I29</f>
        <v>0</v>
      </c>
      <c r="I28" s="36">
        <f>'Anne-6'!I29+'Anne-8'!M29</f>
        <v>0</v>
      </c>
      <c r="J28" s="36"/>
      <c r="K28" s="36"/>
      <c r="L28" s="8">
        <f>'Anne-8'!J29+'Anne-7'!J29</f>
        <v>0</v>
      </c>
      <c r="M28" s="36">
        <f>'Anne-6'!N29</f>
        <v>0</v>
      </c>
      <c r="N28" s="36">
        <f>'Anne-6'!K29</f>
        <v>0</v>
      </c>
      <c r="O28" s="36">
        <f>'Anne-6'!V29</f>
        <v>0</v>
      </c>
      <c r="P28" s="36">
        <f>'Anne-6'!W29</f>
        <v>0</v>
      </c>
      <c r="Q28" s="36">
        <f>+'Anne-7'!L29+'Anne-8'!L29</f>
        <v>0</v>
      </c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10383.384646771898</v>
      </c>
      <c r="Z28" s="58">
        <v>2944.900402684978</v>
      </c>
      <c r="AA28" s="58">
        <v>7438.484244086921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11378120</v>
      </c>
      <c r="E29" s="56"/>
      <c r="F29" s="36">
        <f t="shared" si="3"/>
        <v>11378120</v>
      </c>
      <c r="G29" s="84">
        <f>'Anne-6'!G30+'Anne-8'!H30</f>
        <v>15288848</v>
      </c>
      <c r="H29" s="8">
        <f>'Anne-6'!S30+'Anne-7'!I30+'Anne-8'!I30</f>
        <v>9812335</v>
      </c>
      <c r="I29" s="84">
        <f>'Anne-6'!I30+'Anne-8'!M30</f>
        <v>14874907</v>
      </c>
      <c r="J29" s="36"/>
      <c r="K29" s="36"/>
      <c r="L29" s="8">
        <f>'Anne-8'!J30+'Anne-7'!J30</f>
        <v>4027142</v>
      </c>
      <c r="M29" s="36">
        <f>'Anne-6'!N30</f>
        <v>7411646</v>
      </c>
      <c r="N29" s="36">
        <f>'Anne-6'!K30</f>
        <v>3998723</v>
      </c>
      <c r="O29" s="36">
        <f>'Anne-6'!V30</f>
        <v>7545557</v>
      </c>
      <c r="P29" s="36">
        <f>'Anne-6'!W30</f>
        <v>14622</v>
      </c>
      <c r="Q29" s="36">
        <f>+'Anne-7'!L30+'Anne-8'!L30</f>
        <v>520553</v>
      </c>
      <c r="R29" s="36"/>
      <c r="S29" s="36"/>
      <c r="T29" s="36">
        <f t="shared" si="1"/>
        <v>63494333</v>
      </c>
      <c r="U29" s="36">
        <f t="shared" si="0"/>
        <v>74872453</v>
      </c>
      <c r="V29" s="139">
        <f aca="true" t="shared" si="6" ref="V29:V37">D29/U29*100</f>
        <v>15.196670529814217</v>
      </c>
      <c r="W29" s="57">
        <f t="shared" si="4"/>
        <v>0.5393011965660517</v>
      </c>
      <c r="X29" s="59">
        <f t="shared" si="5"/>
        <v>138832.35096963093</v>
      </c>
      <c r="Y29" s="36">
        <f t="shared" si="2"/>
        <v>138832.35096963093</v>
      </c>
      <c r="Z29" s="60">
        <v>23534.658290076302</v>
      </c>
      <c r="AA29" s="60">
        <v>115297.69267955465</v>
      </c>
      <c r="AB29" s="24"/>
      <c r="AC29" s="73">
        <v>44060.00000000003</v>
      </c>
      <c r="AD29" s="73">
        <v>156704</v>
      </c>
      <c r="AE29" s="73">
        <f>Z29/(Z29+Z30)*AC29</f>
        <v>22860.453294800962</v>
      </c>
      <c r="AF29">
        <f>AA29/(AA29+AA30)*AD29</f>
        <v>113044.14559246821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5631325</v>
      </c>
      <c r="E30" s="56"/>
      <c r="F30" s="36">
        <f t="shared" si="3"/>
        <v>5631325</v>
      </c>
      <c r="G30" s="84">
        <f>'Anne-6'!G31+'Anne-8'!H31</f>
        <v>6649849</v>
      </c>
      <c r="H30" s="84">
        <f>'Anne-6'!S31+'Anne-7'!I31+'Anne-8'!I31</f>
        <v>6704534</v>
      </c>
      <c r="I30" s="84">
        <f>'Anne-6'!I31+'Anne-8'!M31</f>
        <v>9486550</v>
      </c>
      <c r="J30" s="36"/>
      <c r="K30" s="36"/>
      <c r="L30" s="8">
        <f>'Anne-8'!J31+'Anne-7'!J31</f>
        <v>3850601</v>
      </c>
      <c r="M30" s="84">
        <f>'Anne-6'!N31</f>
        <v>10792314</v>
      </c>
      <c r="N30" s="36">
        <f>'Anne-6'!K31</f>
        <v>559150</v>
      </c>
      <c r="O30" s="36">
        <f>'Anne-6'!V31</f>
        <v>4953604</v>
      </c>
      <c r="P30" s="36">
        <f>'Anne-6'!W31</f>
        <v>3621</v>
      </c>
      <c r="Q30" s="36">
        <f>+'Anne-7'!L31+'Anne-8'!L31</f>
        <v>535055</v>
      </c>
      <c r="R30" s="36"/>
      <c r="S30" s="36"/>
      <c r="T30" s="36">
        <f t="shared" si="1"/>
        <v>43535278</v>
      </c>
      <c r="U30" s="36">
        <f t="shared" si="0"/>
        <v>49166603</v>
      </c>
      <c r="V30" s="139">
        <f t="shared" si="6"/>
        <v>11.453557204267295</v>
      </c>
      <c r="W30" s="57">
        <f t="shared" si="4"/>
        <v>0.640704284894276</v>
      </c>
      <c r="X30" s="59">
        <f>Y30+Y28</f>
        <v>76738.37081971926</v>
      </c>
      <c r="Y30" s="36">
        <f>Z30+AA30</f>
        <v>66354.98617294736</v>
      </c>
      <c r="Z30" s="60">
        <v>21824.767915903085</v>
      </c>
      <c r="AA30" s="60">
        <v>44530.218257044275</v>
      </c>
      <c r="AB30" s="73"/>
      <c r="AC30" s="73">
        <v>10554.608454484804</v>
      </c>
      <c r="AD30" s="73">
        <v>64539.00000000003</v>
      </c>
      <c r="AE30" s="83">
        <f>AC29-AE29</f>
        <v>21199.546705199067</v>
      </c>
      <c r="AF30" s="73">
        <f>AD29-AF29</f>
        <v>43659.85440753179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4151836</v>
      </c>
      <c r="E31" s="56"/>
      <c r="F31" s="36">
        <f t="shared" si="3"/>
        <v>4151836</v>
      </c>
      <c r="G31" s="84">
        <f>'Anne-6'!G32+'Anne-8'!H32</f>
        <v>9272222</v>
      </c>
      <c r="H31" s="84">
        <f>'Anne-6'!S32+'Anne-7'!I32+'Anne-8'!I32</f>
        <v>6999742</v>
      </c>
      <c r="I31" s="84">
        <f>'Anne-6'!I32+'Anne-8'!M32</f>
        <v>11601064</v>
      </c>
      <c r="J31" s="36">
        <f>I31-D31</f>
        <v>7449228</v>
      </c>
      <c r="K31" s="105">
        <f>J31/D31</f>
        <v>1.794200927011568</v>
      </c>
      <c r="L31" s="8">
        <f>'Anne-8'!J32+'Anne-7'!J32</f>
        <v>2086932</v>
      </c>
      <c r="M31" s="36">
        <f>'Anne-6'!N32</f>
        <v>2660460</v>
      </c>
      <c r="N31" s="36">
        <f>'Anne-6'!K32</f>
        <v>3011255</v>
      </c>
      <c r="O31" s="36">
        <f>'Anne-6'!V32</f>
        <v>0</v>
      </c>
      <c r="P31" s="36">
        <f>'Anne-6'!W32</f>
        <v>0</v>
      </c>
      <c r="Q31" s="36">
        <f>+'Anne-7'!L32+'Anne-8'!L32</f>
        <v>1924596</v>
      </c>
      <c r="R31" s="36"/>
      <c r="S31" s="36"/>
      <c r="T31" s="36">
        <f t="shared" si="1"/>
        <v>37556271</v>
      </c>
      <c r="U31" s="36">
        <f t="shared" si="0"/>
        <v>41708107</v>
      </c>
      <c r="V31" s="139">
        <f t="shared" si="6"/>
        <v>9.954505966909503</v>
      </c>
      <c r="W31" s="57">
        <f t="shared" si="4"/>
        <v>0.5328520106218717</v>
      </c>
      <c r="X31" s="59">
        <f>Y31+Y8</f>
        <v>78273.34075613982</v>
      </c>
      <c r="Y31" s="36">
        <f t="shared" si="2"/>
        <v>77892.3197226843</v>
      </c>
      <c r="Z31" s="58">
        <v>10947.974843728232</v>
      </c>
      <c r="AA31" s="58">
        <v>66944.34487895606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3226823</v>
      </c>
      <c r="E32" s="56"/>
      <c r="F32" s="36">
        <f t="shared" si="3"/>
        <v>3226823</v>
      </c>
      <c r="G32" s="84">
        <f>'Anne-6'!G33+'Anne-8'!H33</f>
        <v>3779342</v>
      </c>
      <c r="H32" s="84">
        <f>'Anne-6'!S33+'Anne-7'!I33+'Anne-8'!I33</f>
        <v>4187663</v>
      </c>
      <c r="I32" s="84">
        <f>'Anne-6'!I33+'Anne-8'!M33</f>
        <v>4185129</v>
      </c>
      <c r="J32" s="36"/>
      <c r="K32" s="36"/>
      <c r="L32" s="8">
        <f>'Anne-8'!J33+'Anne-7'!J33</f>
        <v>2933481</v>
      </c>
      <c r="M32" s="36">
        <f>'Anne-6'!N33</f>
        <v>1372181</v>
      </c>
      <c r="N32" s="36">
        <f>'Anne-6'!K33</f>
        <v>1876027</v>
      </c>
      <c r="O32" s="36">
        <f>'Anne-6'!V33</f>
        <v>0</v>
      </c>
      <c r="P32" s="36">
        <f>'Anne-6'!W33</f>
        <v>0</v>
      </c>
      <c r="Q32" s="36">
        <f>+'Anne-7'!L33+'Anne-8'!L33</f>
        <v>843673</v>
      </c>
      <c r="R32" s="36"/>
      <c r="S32" s="36"/>
      <c r="T32" s="36">
        <f t="shared" si="1"/>
        <v>19177496</v>
      </c>
      <c r="U32" s="36">
        <f t="shared" si="0"/>
        <v>22404319</v>
      </c>
      <c r="V32" s="139">
        <f t="shared" si="6"/>
        <v>14.402682804150396</v>
      </c>
      <c r="W32" s="57">
        <f t="shared" si="4"/>
        <v>1.438253905902767</v>
      </c>
      <c r="X32" s="59">
        <f t="shared" si="5"/>
        <v>15577.443529303122</v>
      </c>
      <c r="Y32" s="36">
        <f t="shared" si="2"/>
        <v>15577.443529303122</v>
      </c>
      <c r="Z32" s="58">
        <v>15577.443529303122</v>
      </c>
      <c r="AA32" s="58">
        <v>0</v>
      </c>
      <c r="AC32" s="73">
        <v>8783.677377314893</v>
      </c>
      <c r="AD32" s="73">
        <v>0</v>
      </c>
      <c r="AG32" s="83">
        <f>AC32+AG27</f>
        <v>9691.99645875879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2385431</v>
      </c>
      <c r="E33" s="56"/>
      <c r="F33" s="36">
        <f t="shared" si="3"/>
        <v>2385431</v>
      </c>
      <c r="G33" s="84">
        <f>'Anne-6'!G34+'Anne-8'!H34</f>
        <v>4015358</v>
      </c>
      <c r="H33" s="36">
        <f>'Anne-6'!S34+'Anne-7'!I34+'Anne-8'!I34</f>
        <v>981955</v>
      </c>
      <c r="I33" s="36">
        <f>'Anne-6'!I34+'Anne-8'!M34</f>
        <v>2118352</v>
      </c>
      <c r="J33" s="36">
        <f>G33-D33</f>
        <v>1629927</v>
      </c>
      <c r="K33" s="105">
        <f>J33/D33</f>
        <v>0.6832840690005286</v>
      </c>
      <c r="L33" s="8">
        <f>'Anne-8'!J34+'Anne-7'!J34</f>
        <v>1466410</v>
      </c>
      <c r="M33" s="36">
        <f>'Anne-6'!N34</f>
        <v>0</v>
      </c>
      <c r="N33" s="84">
        <f>'Anne-6'!K34</f>
        <v>3865969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12448044</v>
      </c>
      <c r="U33" s="36">
        <f t="shared" si="0"/>
        <v>14833475</v>
      </c>
      <c r="V33" s="139">
        <f t="shared" si="6"/>
        <v>16.081403716930794</v>
      </c>
      <c r="W33" s="57">
        <f t="shared" si="4"/>
        <v>1.2444539620314636</v>
      </c>
      <c r="X33" s="59">
        <f t="shared" si="5"/>
        <v>11919.665534099497</v>
      </c>
      <c r="Y33" s="36">
        <f t="shared" si="2"/>
        <v>11919.665534099497</v>
      </c>
      <c r="Z33" s="58">
        <v>11919.665534099497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121652687</v>
      </c>
      <c r="E34" s="8">
        <f t="shared" si="7"/>
        <v>0</v>
      </c>
      <c r="F34" s="8">
        <f t="shared" si="7"/>
        <v>121652687</v>
      </c>
      <c r="G34" s="8">
        <f t="shared" si="7"/>
        <v>176941978</v>
      </c>
      <c r="H34" s="8">
        <f t="shared" si="7"/>
        <v>109990453</v>
      </c>
      <c r="I34" s="8">
        <f t="shared" si="7"/>
        <v>137423630</v>
      </c>
      <c r="J34" s="8">
        <f t="shared" si="7"/>
        <v>61551196</v>
      </c>
      <c r="K34" s="8">
        <f t="shared" si="7"/>
        <v>10.008944727071473</v>
      </c>
      <c r="L34" s="8">
        <f t="shared" si="7"/>
        <v>60208560</v>
      </c>
      <c r="M34" s="8">
        <f t="shared" si="7"/>
        <v>113601528</v>
      </c>
      <c r="N34" s="8">
        <f t="shared" si="7"/>
        <v>55581641</v>
      </c>
      <c r="O34" s="8">
        <f t="shared" si="7"/>
        <v>31683600</v>
      </c>
      <c r="P34" s="8">
        <f t="shared" si="7"/>
        <v>2009474</v>
      </c>
      <c r="Q34" s="36">
        <f>SUM(Q8:Q33)</f>
        <v>10622528</v>
      </c>
      <c r="R34" s="36">
        <f t="shared" si="7"/>
        <v>1555300</v>
      </c>
      <c r="S34" s="36"/>
      <c r="T34" s="36">
        <f t="shared" si="1"/>
        <v>699618692</v>
      </c>
      <c r="U34" s="36">
        <f t="shared" si="7"/>
        <v>821271379</v>
      </c>
      <c r="V34" s="139">
        <f t="shared" si="6"/>
        <v>14.812726963421916</v>
      </c>
      <c r="W34" s="91">
        <f t="shared" si="4"/>
        <v>0.6857798274060392</v>
      </c>
      <c r="X34" s="36">
        <f>SUM(X8:X33)</f>
        <v>1197572.961728048</v>
      </c>
      <c r="Y34" s="36">
        <f>SUM(Y8:Y33)</f>
        <v>1197572.961728048</v>
      </c>
      <c r="Z34" s="62">
        <f>SUM(Z8:Z33)</f>
        <v>331596.68146746024</v>
      </c>
      <c r="AA34" s="62">
        <f>SUM(AA8:AA33)</f>
        <v>865976.280260588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4183844</v>
      </c>
      <c r="F35" s="36">
        <f t="shared" si="3"/>
        <v>4183844</v>
      </c>
      <c r="G35" s="8">
        <f>'Anne-6'!G36+'Anne-8'!H36</f>
        <v>10376211</v>
      </c>
      <c r="H35" s="36">
        <f>'Anne-6'!S36+'Anne-7'!I36+'Anne-8'!I36</f>
        <v>7868703</v>
      </c>
      <c r="I35" s="36">
        <f>'Anne-6'!I36+'Anne-8'!M36</f>
        <v>8542852</v>
      </c>
      <c r="J35" s="36"/>
      <c r="K35" s="36"/>
      <c r="L35" s="8">
        <f>'Anne-8'!J36+'Anne-7'!J36</f>
        <v>3656218</v>
      </c>
      <c r="M35" s="36">
        <f>'Anne-6'!N36</f>
        <v>4895910</v>
      </c>
      <c r="N35" s="36">
        <f>'Anne-6'!K36</f>
        <v>2942096</v>
      </c>
      <c r="O35" s="36">
        <f>'Anne-6'!V36</f>
        <v>0</v>
      </c>
      <c r="P35" s="36">
        <f>'Anne-6'!W36</f>
        <v>0</v>
      </c>
      <c r="Q35" s="36">
        <f>+'Anne-7'!L36+'Anne-8'!L36</f>
        <v>917353</v>
      </c>
      <c r="R35" s="36"/>
      <c r="S35" s="36"/>
      <c r="T35" s="36">
        <f t="shared" si="1"/>
        <v>39199343</v>
      </c>
      <c r="U35" s="36">
        <f>F35+T35</f>
        <v>43383187</v>
      </c>
      <c r="V35" s="139">
        <f t="shared" si="6"/>
        <v>0</v>
      </c>
      <c r="W35" s="57">
        <f t="shared" si="4"/>
        <v>2.5147852733139775</v>
      </c>
      <c r="X35" s="59">
        <f t="shared" si="5"/>
        <v>17251.24902724985</v>
      </c>
      <c r="Y35" s="36">
        <f t="shared" si="2"/>
        <v>17251.24902724985</v>
      </c>
      <c r="Z35" s="63">
        <v>16463.063946225968</v>
      </c>
      <c r="AA35" s="63">
        <v>788.1850810238822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4273866</v>
      </c>
      <c r="F36" s="36">
        <f t="shared" si="3"/>
        <v>4273866</v>
      </c>
      <c r="G36" s="8">
        <f>'Anne-6'!G37+'Anne-8'!H37</f>
        <v>4160952</v>
      </c>
      <c r="H36" s="36">
        <f>'Anne-6'!S37+'Anne-7'!I37+'Anne-8'!I37</f>
        <v>6356187</v>
      </c>
      <c r="I36" s="36">
        <f>'Anne-6'!I37+'Anne-8'!M37</f>
        <v>6420082</v>
      </c>
      <c r="J36" s="36"/>
      <c r="K36" s="36"/>
      <c r="L36" s="8">
        <f>'Anne-8'!J37+'Anne-7'!J37</f>
        <v>4057359</v>
      </c>
      <c r="M36" s="36">
        <f>'Anne-6'!N37</f>
        <v>3109952</v>
      </c>
      <c r="N36" s="36">
        <f>'Anne-6'!K37</f>
        <v>1548230</v>
      </c>
      <c r="O36" s="36">
        <f>'Anne-6'!V37</f>
        <v>0</v>
      </c>
      <c r="P36" s="36">
        <f>'Anne-6'!W37</f>
        <v>0</v>
      </c>
      <c r="Q36" s="36">
        <f>+'Anne-7'!L37+'Anne-8'!L37</f>
        <v>424603</v>
      </c>
      <c r="R36" s="36"/>
      <c r="S36" s="36">
        <f>'Anne-6'!X37</f>
        <v>2987976</v>
      </c>
      <c r="T36" s="36">
        <f>G36+H36+L36+I36+M36+N36+S36+R36+Q36+O36+P36</f>
        <v>29065341</v>
      </c>
      <c r="U36" s="36">
        <f>F36+T36</f>
        <v>33339207</v>
      </c>
      <c r="V36" s="139">
        <f t="shared" si="6"/>
        <v>0</v>
      </c>
      <c r="W36" s="57">
        <f t="shared" si="4"/>
        <v>1.3783512841774306</v>
      </c>
      <c r="X36" s="59">
        <f t="shared" si="5"/>
        <v>24187.743271771316</v>
      </c>
      <c r="Y36" s="36">
        <f>Z36+AA36</f>
        <v>24187.743271771316</v>
      </c>
      <c r="Z36" s="63">
        <v>24187.743271771316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4</v>
      </c>
      <c r="D37" s="36">
        <f aca="true" t="shared" si="8" ref="D37:U37">SUM(D34:D36)</f>
        <v>121652687</v>
      </c>
      <c r="E37" s="36">
        <f t="shared" si="8"/>
        <v>8457710</v>
      </c>
      <c r="F37" s="36">
        <f t="shared" si="8"/>
        <v>130110397</v>
      </c>
      <c r="G37" s="36">
        <f t="shared" si="8"/>
        <v>191479141</v>
      </c>
      <c r="H37" s="36">
        <f t="shared" si="8"/>
        <v>124215343</v>
      </c>
      <c r="I37" s="36">
        <f t="shared" si="8"/>
        <v>152386564</v>
      </c>
      <c r="J37" s="36">
        <f t="shared" si="8"/>
        <v>61551196</v>
      </c>
      <c r="K37" s="36">
        <f t="shared" si="8"/>
        <v>10.008944727071473</v>
      </c>
      <c r="L37" s="36">
        <f t="shared" si="8"/>
        <v>67922137</v>
      </c>
      <c r="M37" s="36">
        <f t="shared" si="8"/>
        <v>121607390</v>
      </c>
      <c r="N37" s="36">
        <f t="shared" si="8"/>
        <v>60071967</v>
      </c>
      <c r="O37" s="36">
        <f t="shared" si="8"/>
        <v>31683600</v>
      </c>
      <c r="P37" s="36">
        <f t="shared" si="8"/>
        <v>2009474</v>
      </c>
      <c r="Q37" s="8">
        <f>SUM(Q34:Q36)</f>
        <v>11964484</v>
      </c>
      <c r="R37" s="8">
        <f t="shared" si="8"/>
        <v>1555300</v>
      </c>
      <c r="S37" s="8">
        <f>SUM(S34:S36)</f>
        <v>2987976</v>
      </c>
      <c r="T37" s="36">
        <f t="shared" si="1"/>
        <v>767883376</v>
      </c>
      <c r="U37" s="36">
        <f t="shared" si="8"/>
        <v>897993773</v>
      </c>
      <c r="V37" s="146">
        <f t="shared" si="6"/>
        <v>13.547163761902834</v>
      </c>
      <c r="W37" s="57">
        <f t="shared" si="4"/>
        <v>0.7247660283513141</v>
      </c>
      <c r="X37" s="36">
        <f>SUM(X34:X36)</f>
        <v>1239011.9540270693</v>
      </c>
      <c r="Y37" s="36">
        <f t="shared" si="2"/>
        <v>1239011.9540270693</v>
      </c>
      <c r="Z37" s="62">
        <f>Z34+Z35+Z36</f>
        <v>372247.4886854575</v>
      </c>
      <c r="AA37" s="62">
        <f>AA34+AA35+AA36</f>
        <v>866764.4653416119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8">
        <f>D37/U37*100</f>
        <v>13.547163761902834</v>
      </c>
      <c r="E38" s="148">
        <f>E37/U37*100</f>
        <v>0.9418450611015541</v>
      </c>
      <c r="F38" s="148">
        <f>F37/U37</f>
        <v>0.14489008823004387</v>
      </c>
      <c r="G38" s="148">
        <f>G37/U37*100</f>
        <v>21.322992069344785</v>
      </c>
      <c r="H38" s="148">
        <f>H37/U37*100</f>
        <v>13.832539460159484</v>
      </c>
      <c r="I38" s="148">
        <f>I37/U37*100</f>
        <v>16.969668229536822</v>
      </c>
      <c r="J38" s="148"/>
      <c r="K38" s="148"/>
      <c r="L38" s="148">
        <f>L37/U37*100</f>
        <v>7.5637648102043125</v>
      </c>
      <c r="M38" s="148">
        <f>M37/U37*100</f>
        <v>13.54211951757042</v>
      </c>
      <c r="N38" s="148">
        <f>N37/U37*100</f>
        <v>6.6895750066632145</v>
      </c>
      <c r="O38" s="148">
        <f>O37/U37*100</f>
        <v>3.528265000563651</v>
      </c>
      <c r="P38" s="148">
        <f>P37/U37*100</f>
        <v>0.22377371207005017</v>
      </c>
      <c r="Q38" s="148">
        <f>Q37/U37*100</f>
        <v>1.3323571231490043</v>
      </c>
      <c r="R38" s="148">
        <f>R37/U37*100</f>
        <v>0.17319719209233314</v>
      </c>
      <c r="S38" s="148">
        <f>S37/U37*100</f>
        <v>0.33273905564153616</v>
      </c>
      <c r="T38" s="148">
        <f>T37/U37*100</f>
        <v>85.51099117699562</v>
      </c>
      <c r="U38" s="148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240</v>
      </c>
      <c r="B40" s="124"/>
      <c r="C40" s="133">
        <v>3</v>
      </c>
      <c r="D40" s="129">
        <v>121261671</v>
      </c>
      <c r="E40" s="120">
        <v>8553591</v>
      </c>
      <c r="F40" s="120">
        <v>129815262</v>
      </c>
      <c r="G40" s="120">
        <v>189902790</v>
      </c>
      <c r="H40" s="120">
        <v>121187616</v>
      </c>
      <c r="I40" s="120">
        <v>149918655</v>
      </c>
      <c r="J40" s="120">
        <v>60131690</v>
      </c>
      <c r="K40" s="120">
        <v>9.782537368965771</v>
      </c>
      <c r="L40" s="120">
        <v>68493974</v>
      </c>
      <c r="M40" s="120">
        <v>119259713</v>
      </c>
      <c r="N40" s="120">
        <v>60872785</v>
      </c>
      <c r="O40" s="120">
        <v>31770774</v>
      </c>
      <c r="P40" s="120">
        <v>2060119</v>
      </c>
      <c r="Q40" s="120">
        <v>14084946</v>
      </c>
      <c r="R40" s="120">
        <v>1629747</v>
      </c>
      <c r="S40" s="120">
        <v>3028539</v>
      </c>
      <c r="T40" s="120">
        <v>762209658</v>
      </c>
      <c r="U40" s="120">
        <v>892024920</v>
      </c>
      <c r="V40" s="147">
        <f>D40/U40*100</f>
        <v>13.593977957476794</v>
      </c>
      <c r="W40" s="92"/>
      <c r="Y40" s="81"/>
      <c r="Z40" s="24"/>
      <c r="AA40" s="24"/>
      <c r="AE40" s="81"/>
    </row>
    <row r="41" spans="1:27" ht="15.75" thickBot="1">
      <c r="A41" s="125" t="s">
        <v>241</v>
      </c>
      <c r="B41" s="122"/>
      <c r="C41" s="4">
        <v>5</v>
      </c>
      <c r="D41" s="121">
        <f>D37-D40</f>
        <v>391016</v>
      </c>
      <c r="E41" s="121">
        <f aca="true" t="shared" si="9" ref="E41:R41">E37-E40</f>
        <v>-95881</v>
      </c>
      <c r="F41" s="121">
        <f t="shared" si="9"/>
        <v>295135</v>
      </c>
      <c r="G41" s="121">
        <f t="shared" si="9"/>
        <v>1576351</v>
      </c>
      <c r="H41" s="121">
        <f t="shared" si="9"/>
        <v>3027727</v>
      </c>
      <c r="I41" s="121">
        <f t="shared" si="9"/>
        <v>2467909</v>
      </c>
      <c r="J41" s="121">
        <f t="shared" si="9"/>
        <v>1419506</v>
      </c>
      <c r="K41" s="121">
        <f t="shared" si="9"/>
        <v>0.22640735810570156</v>
      </c>
      <c r="L41" s="121">
        <f t="shared" si="9"/>
        <v>-571837</v>
      </c>
      <c r="M41" s="121">
        <f t="shared" si="9"/>
        <v>2347677</v>
      </c>
      <c r="N41" s="121">
        <f t="shared" si="9"/>
        <v>-800818</v>
      </c>
      <c r="O41" s="121">
        <f>O37-O40</f>
        <v>-87174</v>
      </c>
      <c r="P41" s="121">
        <f>P37-P40</f>
        <v>-50645</v>
      </c>
      <c r="Q41" s="121">
        <f>Q37-Q40</f>
        <v>-2120462</v>
      </c>
      <c r="R41" s="121">
        <f t="shared" si="9"/>
        <v>-74447</v>
      </c>
      <c r="S41" s="121">
        <f>S37-S40</f>
        <v>-40563</v>
      </c>
      <c r="T41" s="121">
        <f>T37-T40</f>
        <v>5673718</v>
      </c>
      <c r="U41" s="121">
        <f>U37-U40</f>
        <v>5968853</v>
      </c>
      <c r="V41" s="423" t="s">
        <v>130</v>
      </c>
      <c r="W41" s="92"/>
      <c r="X41" s="92">
        <f>V40-V37</f>
        <v>0.04681419557396005</v>
      </c>
      <c r="Z41" s="24"/>
      <c r="AA41" s="24"/>
    </row>
    <row r="42" spans="1:24" ht="15">
      <c r="A42" s="123" t="s">
        <v>186</v>
      </c>
      <c r="B42" s="127"/>
      <c r="C42" s="135">
        <v>4</v>
      </c>
      <c r="D42" s="131">
        <v>120980720</v>
      </c>
      <c r="E42" s="132">
        <v>9299537</v>
      </c>
      <c r="F42" s="132">
        <v>130280257</v>
      </c>
      <c r="G42" s="132">
        <v>184549245</v>
      </c>
      <c r="H42" s="132">
        <v>154315442</v>
      </c>
      <c r="I42" s="132">
        <f>150465330+17850</f>
        <v>150483180</v>
      </c>
      <c r="J42" s="132">
        <v>58223473</v>
      </c>
      <c r="K42" s="132">
        <v>9.318547005735773</v>
      </c>
      <c r="L42" s="132">
        <v>83187167</v>
      </c>
      <c r="M42" s="132">
        <v>112722692</v>
      </c>
      <c r="N42" s="132">
        <v>62572579</v>
      </c>
      <c r="O42" s="132">
        <v>42431924</v>
      </c>
      <c r="P42" s="132">
        <v>5951588</v>
      </c>
      <c r="Q42" s="132">
        <v>15849698</v>
      </c>
      <c r="R42" s="132">
        <v>1531824</v>
      </c>
      <c r="S42" s="132">
        <v>3267241</v>
      </c>
      <c r="T42" s="132">
        <v>814323430</v>
      </c>
      <c r="U42" s="132">
        <v>952247948</v>
      </c>
      <c r="V42" s="147">
        <f>D42/U42*100</f>
        <v>12.70474987676214</v>
      </c>
      <c r="W42" s="92"/>
      <c r="X42" s="92">
        <f>V42-V37</f>
        <v>-0.8424138851406937</v>
      </c>
    </row>
    <row r="43" spans="1:23" ht="16.5" thickBot="1">
      <c r="A43" s="126" t="s">
        <v>193</v>
      </c>
      <c r="B43" s="128"/>
      <c r="C43" s="134">
        <v>4</v>
      </c>
      <c r="D43" s="130">
        <f aca="true" t="shared" si="10" ref="D43:U43">D37-D42</f>
        <v>671967</v>
      </c>
      <c r="E43" s="130">
        <f t="shared" si="10"/>
        <v>-841827</v>
      </c>
      <c r="F43" s="130">
        <f t="shared" si="10"/>
        <v>-169860</v>
      </c>
      <c r="G43" s="130">
        <f t="shared" si="10"/>
        <v>6929896</v>
      </c>
      <c r="H43" s="130">
        <f t="shared" si="10"/>
        <v>-30100099</v>
      </c>
      <c r="I43" s="130">
        <f t="shared" si="10"/>
        <v>1903384</v>
      </c>
      <c r="J43" s="130">
        <f t="shared" si="10"/>
        <v>3327723</v>
      </c>
      <c r="K43" s="130">
        <f t="shared" si="10"/>
        <v>0.6903977213356995</v>
      </c>
      <c r="L43" s="130">
        <f t="shared" si="10"/>
        <v>-15265030</v>
      </c>
      <c r="M43" s="130">
        <f t="shared" si="10"/>
        <v>8884698</v>
      </c>
      <c r="N43" s="130">
        <f t="shared" si="10"/>
        <v>-2500612</v>
      </c>
      <c r="O43" s="130">
        <f t="shared" si="10"/>
        <v>-10748324</v>
      </c>
      <c r="P43" s="130">
        <f t="shared" si="10"/>
        <v>-3942114</v>
      </c>
      <c r="Q43" s="130">
        <f t="shared" si="10"/>
        <v>-3885214</v>
      </c>
      <c r="R43" s="130">
        <f t="shared" si="10"/>
        <v>23476</v>
      </c>
      <c r="S43" s="130">
        <f t="shared" si="10"/>
        <v>-279265</v>
      </c>
      <c r="T43" s="130">
        <f t="shared" si="10"/>
        <v>-46440054</v>
      </c>
      <c r="U43" s="130">
        <f t="shared" si="10"/>
        <v>-54254175</v>
      </c>
      <c r="V43" s="424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-2021670</v>
      </c>
      <c r="E44" s="172">
        <f>'Anne-8'!E44</f>
        <v>1637</v>
      </c>
      <c r="F44" s="172">
        <f>'Anne-8'!F44</f>
        <v>-2020033</v>
      </c>
      <c r="G44" s="172">
        <f>'Anne-8'!G44</f>
        <v>13121</v>
      </c>
      <c r="H44" s="172">
        <f>'Anne-8'!I44</f>
        <v>-27124</v>
      </c>
      <c r="I44" s="173"/>
      <c r="J44" s="173"/>
      <c r="K44" s="173"/>
      <c r="L44" s="172">
        <f>'Anne-8'!J44</f>
        <v>64629</v>
      </c>
      <c r="M44" s="173"/>
      <c r="N44" s="173"/>
      <c r="O44" s="172"/>
      <c r="P44" s="173"/>
      <c r="Q44" s="172">
        <f>'Anne-8'!L44</f>
        <v>5815</v>
      </c>
      <c r="R44" s="172">
        <f>'Anne-8'!K44</f>
        <v>-12790</v>
      </c>
      <c r="S44" s="173"/>
      <c r="T44" s="172">
        <f>'Anne-8'!N44</f>
        <v>58711</v>
      </c>
      <c r="U44" s="172">
        <f>'Anne-8'!O44</f>
        <v>-1943472</v>
      </c>
      <c r="V44" s="174">
        <f>D44/U44</f>
        <v>1.0402362370026428</v>
      </c>
    </row>
    <row r="45" spans="1:25" ht="15">
      <c r="A45" t="str">
        <f>'Anne-5'!A46</f>
        <v>Note: As per TRAI report, M/s Etisalat, S. Tel and Loop (Except for Mumbai Circle) have submitted that there are no active subscribers on their network hence their figures have been taken as Zero.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297">
        <f>U41/1000000</f>
        <v>5.968853</v>
      </c>
    </row>
    <row r="48" spans="4:21" ht="12.75">
      <c r="D48" s="389">
        <f>D15/U15*100</f>
        <v>26.1526982137639</v>
      </c>
      <c r="E48" s="389"/>
      <c r="F48" s="389"/>
      <c r="G48" s="389">
        <f>G15/U15*100</f>
        <v>27.11611494060043</v>
      </c>
      <c r="H48" s="389">
        <f>H15/U15*100</f>
        <v>21.18650572394892</v>
      </c>
      <c r="I48" s="389">
        <f>I15/U15*100</f>
        <v>6.8122283790103415</v>
      </c>
      <c r="J48" s="389">
        <f>J15/V15*100</f>
        <v>0</v>
      </c>
      <c r="K48" s="389">
        <f>K15/W15*100</f>
        <v>0</v>
      </c>
      <c r="L48" s="389">
        <f>L15/U15*100</f>
        <v>2.4637432065627083</v>
      </c>
      <c r="M48" s="389">
        <f>M15/U15*100</f>
        <v>6.4709871639465515</v>
      </c>
      <c r="N48" s="389">
        <f>N15/U15*100</f>
        <v>9.797722372167152</v>
      </c>
      <c r="O48" s="389">
        <f>O15/U15*100</f>
        <v>0</v>
      </c>
      <c r="P48" s="389">
        <f>P15/U15*100</f>
        <v>0</v>
      </c>
      <c r="Q48" s="389">
        <f>Q15/U15*100</f>
        <v>0</v>
      </c>
      <c r="R48" s="389">
        <f>R15/U15*100</f>
        <v>0</v>
      </c>
      <c r="S48" s="389">
        <f>S15/U15*100</f>
        <v>0</v>
      </c>
      <c r="U48" s="92">
        <f>U37/1000000</f>
        <v>897.993773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7" sqref="O7:O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30th April 2013.</v>
      </c>
    </row>
    <row r="4" spans="2:3" ht="15">
      <c r="B4" s="76" t="s">
        <v>242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482" t="s">
        <v>19</v>
      </c>
      <c r="B6" s="482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37" t="s">
        <v>53</v>
      </c>
      <c r="S6" s="540" t="s">
        <v>70</v>
      </c>
      <c r="T6" s="532" t="s">
        <v>120</v>
      </c>
    </row>
    <row r="7" spans="1:20" ht="15.75" customHeight="1">
      <c r="A7" s="482"/>
      <c r="B7" s="482"/>
      <c r="C7" s="529" t="s">
        <v>118</v>
      </c>
      <c r="D7" s="543" t="s">
        <v>1</v>
      </c>
      <c r="E7" s="536" t="s">
        <v>2</v>
      </c>
      <c r="F7" s="537" t="s">
        <v>52</v>
      </c>
      <c r="G7" s="527" t="s">
        <v>75</v>
      </c>
      <c r="H7" s="527" t="s">
        <v>132</v>
      </c>
      <c r="I7" s="527" t="s">
        <v>110</v>
      </c>
      <c r="J7" s="528" t="s">
        <v>59</v>
      </c>
      <c r="K7" s="527" t="s">
        <v>11</v>
      </c>
      <c r="L7" s="527" t="s">
        <v>10</v>
      </c>
      <c r="M7" s="535" t="s">
        <v>134</v>
      </c>
      <c r="N7" s="535" t="s">
        <v>144</v>
      </c>
      <c r="O7" s="528" t="s">
        <v>190</v>
      </c>
      <c r="P7" s="528" t="s">
        <v>189</v>
      </c>
      <c r="Q7" s="540" t="s">
        <v>188</v>
      </c>
      <c r="R7" s="538"/>
      <c r="S7" s="538"/>
      <c r="T7" s="533"/>
    </row>
    <row r="8" spans="1:20" ht="35.25" customHeight="1">
      <c r="A8" s="482"/>
      <c r="B8" s="482"/>
      <c r="C8" s="530"/>
      <c r="D8" s="543"/>
      <c r="E8" s="536"/>
      <c r="F8" s="539"/>
      <c r="G8" s="526"/>
      <c r="H8" s="542"/>
      <c r="I8" s="526"/>
      <c r="J8" s="528"/>
      <c r="K8" s="526"/>
      <c r="L8" s="526"/>
      <c r="M8" s="536"/>
      <c r="N8" s="536"/>
      <c r="O8" s="528"/>
      <c r="P8" s="528"/>
      <c r="Q8" s="541"/>
      <c r="R8" s="539"/>
      <c r="S8" s="539"/>
      <c r="T8" s="534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'Anne-6'!G9</f>
        <v>0</v>
      </c>
      <c r="H9" s="8">
        <f>'Anne-6'!S9+'Anne-7'!I9</f>
        <v>0</v>
      </c>
      <c r="I9" s="8">
        <f>'Anne-6'!I9</f>
        <v>0</v>
      </c>
      <c r="J9" s="8">
        <f>'Anne-7'!J9</f>
        <v>0</v>
      </c>
      <c r="K9" s="8">
        <f>'Anne-6'!N9</f>
        <v>0</v>
      </c>
      <c r="L9" s="9">
        <f>'Anne-6'!K9</f>
        <v>0</v>
      </c>
      <c r="M9" s="8">
        <f>'Anne-6'!V9</f>
        <v>0</v>
      </c>
      <c r="N9" s="35">
        <f>'Anne-6'!W9</f>
        <v>0</v>
      </c>
      <c r="O9" s="8">
        <f>'Anne-7'!L9</f>
        <v>0</v>
      </c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9380164</v>
      </c>
      <c r="E10" s="8"/>
      <c r="F10" s="8">
        <f>D10+E10</f>
        <v>9380164</v>
      </c>
      <c r="G10" s="207">
        <f>'Anne-6'!G10</f>
        <v>18251864</v>
      </c>
      <c r="H10" s="8">
        <f>'Anne-6'!S10+'Anne-7'!I10</f>
        <v>7019993</v>
      </c>
      <c r="I10" s="8">
        <f>'Anne-6'!I10</f>
        <v>5865618</v>
      </c>
      <c r="J10" s="8">
        <f>'Anne-7'!J10</f>
        <v>6585826</v>
      </c>
      <c r="K10" s="84">
        <f>'Anne-6'!N10</f>
        <v>11193280</v>
      </c>
      <c r="L10" s="9">
        <f>'Anne-6'!K10</f>
        <v>1762191</v>
      </c>
      <c r="M10" s="8">
        <f>'Anne-6'!V10</f>
        <v>4304686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54983458</v>
      </c>
      <c r="S10" s="36">
        <f t="shared" si="0"/>
        <v>64363622</v>
      </c>
      <c r="T10" s="141">
        <f>D10/S10*100</f>
        <v>14.573704382267364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1236162</v>
      </c>
      <c r="E11" s="8"/>
      <c r="F11" s="8">
        <f aca="true" t="shared" si="2" ref="F11:F37">D11+E11</f>
        <v>1236162</v>
      </c>
      <c r="G11" s="207">
        <f>'Anne-6'!G11</f>
        <v>3967502</v>
      </c>
      <c r="H11" s="84">
        <f>'Anne-6'!S11+'Anne-7'!I11</f>
        <v>2952654</v>
      </c>
      <c r="I11" s="84">
        <f>'Anne-6'!I11</f>
        <v>2329915</v>
      </c>
      <c r="J11" s="8">
        <f>'Anne-7'!J11</f>
        <v>0</v>
      </c>
      <c r="K11" s="8">
        <f>'Anne-6'!N11</f>
        <v>394272</v>
      </c>
      <c r="L11" s="456">
        <f>'Anne-6'!K11</f>
        <v>3507159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13151502</v>
      </c>
      <c r="S11" s="36">
        <f t="shared" si="0"/>
        <v>14387664</v>
      </c>
      <c r="T11" s="141">
        <f>D11/S11*100</f>
        <v>8.591818657983673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5</v>
      </c>
      <c r="D12" s="25">
        <f>'Anne-6'!D12+'Anne-7'!F12</f>
        <v>5907091</v>
      </c>
      <c r="E12" s="8"/>
      <c r="F12" s="8">
        <f t="shared" si="2"/>
        <v>5907091</v>
      </c>
      <c r="G12" s="207">
        <f>'Anne-6'!G12</f>
        <v>19372211</v>
      </c>
      <c r="H12" s="84">
        <f>'Anne-6'!S12+'Anne-7'!I12</f>
        <v>9538728</v>
      </c>
      <c r="I12" s="84">
        <f>'Anne-6'!I12</f>
        <v>6769349</v>
      </c>
      <c r="J12" s="8">
        <f>'Anne-7'!J12</f>
        <v>3645983</v>
      </c>
      <c r="K12" s="84">
        <f>'Anne-6'!N12</f>
        <v>6040383</v>
      </c>
      <c r="L12" s="9">
        <f>'Anne-6'!K12</f>
        <v>4659654</v>
      </c>
      <c r="M12" s="8">
        <f>'Anne-6'!V12</f>
        <v>4349864</v>
      </c>
      <c r="N12" s="35">
        <f>'Anne-6'!W12</f>
        <v>18596</v>
      </c>
      <c r="O12" s="8">
        <f>'Anne-7'!L12</f>
        <v>0</v>
      </c>
      <c r="P12" s="8"/>
      <c r="Q12" s="35"/>
      <c r="R12" s="35">
        <f t="shared" si="1"/>
        <v>54394768</v>
      </c>
      <c r="S12" s="36">
        <f t="shared" si="0"/>
        <v>60301859</v>
      </c>
      <c r="T12" s="141">
        <f>D12/S12*100</f>
        <v>9.795868813928275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>
        <f>'Anne-6'!D13+'Anne-7'!F13</f>
        <v>0</v>
      </c>
      <c r="E13" s="8"/>
      <c r="F13" s="8">
        <f t="shared" si="2"/>
        <v>0</v>
      </c>
      <c r="G13" s="10">
        <f>'Anne-6'!G13</f>
        <v>0</v>
      </c>
      <c r="H13" s="8">
        <f>'Anne-6'!S13+'Anne-7'!I13</f>
        <v>0</v>
      </c>
      <c r="I13" s="8">
        <f>'Anne-6'!I13</f>
        <v>0</v>
      </c>
      <c r="J13" s="8">
        <f>'Anne-7'!J13</f>
        <v>0</v>
      </c>
      <c r="K13" s="8">
        <f>'Anne-6'!N13</f>
        <v>0</v>
      </c>
      <c r="L13" s="9">
        <f>'Anne-6'!K13</f>
        <v>0</v>
      </c>
      <c r="M13" s="8">
        <f>'Anne-6'!V13</f>
        <v>0</v>
      </c>
      <c r="N13" s="35">
        <f>'Anne-6'!W13</f>
        <v>0</v>
      </c>
      <c r="O13" s="8">
        <f>'Anne-7'!L13</f>
        <v>0</v>
      </c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4299022</v>
      </c>
      <c r="E14" s="8"/>
      <c r="F14" s="8">
        <f t="shared" si="2"/>
        <v>4299022</v>
      </c>
      <c r="G14" s="207">
        <f>'Anne-6'!G14</f>
        <v>7110570</v>
      </c>
      <c r="H14" s="84">
        <f>'Anne-6'!S14+'Anne-7'!I14</f>
        <v>7021625</v>
      </c>
      <c r="I14" s="84">
        <f>'Anne-6'!I14</f>
        <v>16061726</v>
      </c>
      <c r="J14" s="8">
        <f>'Anne-7'!J14</f>
        <v>2791560</v>
      </c>
      <c r="K14" s="84">
        <f>'Anne-6'!N14</f>
        <v>8510202</v>
      </c>
      <c r="L14" s="9">
        <f>'Anne-6'!K14</f>
        <v>185773</v>
      </c>
      <c r="M14" s="84">
        <f>'Anne-6'!V14</f>
        <v>4947807</v>
      </c>
      <c r="N14" s="35">
        <f>'Anne-6'!W14</f>
        <v>553599</v>
      </c>
      <c r="O14" s="8">
        <f>'Anne-7'!L14</f>
        <v>211480</v>
      </c>
      <c r="P14" s="8"/>
      <c r="Q14" s="35"/>
      <c r="R14" s="35">
        <f t="shared" si="1"/>
        <v>47394342</v>
      </c>
      <c r="S14" s="36">
        <f t="shared" si="0"/>
        <v>51693364</v>
      </c>
      <c r="T14" s="141">
        <f>D14/S14*100</f>
        <v>8.316390475187491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3110251</v>
      </c>
      <c r="E15" s="8"/>
      <c r="F15" s="8">
        <f t="shared" si="2"/>
        <v>3110251</v>
      </c>
      <c r="G15" s="10">
        <f>'Anne-6'!G15</f>
        <v>2333743</v>
      </c>
      <c r="H15" s="8">
        <f>'Anne-6'!S15+'Anne-7'!I15</f>
        <v>2272470</v>
      </c>
      <c r="I15" s="84">
        <f>'Anne-6'!I15</f>
        <v>4633056</v>
      </c>
      <c r="J15" s="8">
        <f>'Anne-7'!J15</f>
        <v>2640918</v>
      </c>
      <c r="K15" s="84">
        <f>'Anne-6'!N15</f>
        <v>3782688</v>
      </c>
      <c r="L15" s="9">
        <f>'Anne-6'!K15</f>
        <v>36092</v>
      </c>
      <c r="M15" s="8">
        <f>'Anne-6'!V15</f>
        <v>0</v>
      </c>
      <c r="N15" s="35">
        <f>'Anne-6'!W15</f>
        <v>734371</v>
      </c>
      <c r="O15" s="8">
        <f>'Anne-7'!L15</f>
        <v>0</v>
      </c>
      <c r="P15" s="8"/>
      <c r="Q15" s="35"/>
      <c r="R15" s="35">
        <f t="shared" si="1"/>
        <v>16433338</v>
      </c>
      <c r="S15" s="36">
        <f t="shared" si="0"/>
        <v>19543589</v>
      </c>
      <c r="T15" s="141">
        <f>D15/S15*100</f>
        <v>15.914431069953425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2</v>
      </c>
      <c r="D16" s="25">
        <f>'Anne-6'!D16+'Anne-7'!F16</f>
        <v>1634163</v>
      </c>
      <c r="E16" s="8"/>
      <c r="F16" s="8">
        <f t="shared" si="2"/>
        <v>1634163</v>
      </c>
      <c r="G16" s="207">
        <f>'Anne-6'!G16</f>
        <v>1978395</v>
      </c>
      <c r="H16" s="8">
        <f>'Anne-6'!S16+'Anne-7'!I16</f>
        <v>1541285</v>
      </c>
      <c r="I16" s="8">
        <f>'Anne-6'!I16</f>
        <v>497021</v>
      </c>
      <c r="J16" s="8">
        <f>'Anne-7'!J16</f>
        <v>177512</v>
      </c>
      <c r="K16" s="8">
        <f>'Anne-6'!N16</f>
        <v>472124</v>
      </c>
      <c r="L16" s="9">
        <f>'Anne-6'!K16</f>
        <v>714843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5381180</v>
      </c>
      <c r="S16" s="36">
        <f t="shared" si="0"/>
        <v>7015343</v>
      </c>
      <c r="T16" s="141">
        <f>D16/S16*100</f>
        <v>23.29412831275677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1159503</v>
      </c>
      <c r="E17" s="8"/>
      <c r="F17" s="8">
        <f t="shared" si="2"/>
        <v>1159503</v>
      </c>
      <c r="G17" s="207">
        <f>'Anne-6'!G17</f>
        <v>2382558</v>
      </c>
      <c r="H17" s="8">
        <f>'Anne-6'!S17+'Anne-7'!I17</f>
        <v>624913</v>
      </c>
      <c r="I17" s="8">
        <f>'Anne-6'!I17</f>
        <v>625770</v>
      </c>
      <c r="J17" s="8">
        <f>'Anne-7'!J17</f>
        <v>0</v>
      </c>
      <c r="K17" s="8">
        <f>'Anne-6'!N17</f>
        <v>224253</v>
      </c>
      <c r="L17" s="456">
        <f>'Anne-6'!K17</f>
        <v>1827610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5685104</v>
      </c>
      <c r="S17" s="36">
        <f t="shared" si="0"/>
        <v>6844607</v>
      </c>
      <c r="T17" s="141">
        <f>D17/S17*100</f>
        <v>16.940388250194644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>
        <f>'Anne-6'!D18+'Anne-7'!F18</f>
        <v>0</v>
      </c>
      <c r="E18" s="8"/>
      <c r="F18" s="8">
        <f t="shared" si="2"/>
        <v>0</v>
      </c>
      <c r="G18" s="10">
        <f>'Anne-6'!G18</f>
        <v>0</v>
      </c>
      <c r="H18" s="8">
        <f>'Anne-6'!S18+'Anne-7'!I18</f>
        <v>0</v>
      </c>
      <c r="I18" s="8">
        <f>'Anne-6'!I18</f>
        <v>0</v>
      </c>
      <c r="J18" s="8">
        <f>'Anne-7'!J18</f>
        <v>0</v>
      </c>
      <c r="K18" s="8">
        <f>'Anne-6'!N18</f>
        <v>0</v>
      </c>
      <c r="L18" s="9">
        <f>'Anne-6'!K18</f>
        <v>0</v>
      </c>
      <c r="M18" s="8">
        <f>'Anne-6'!V18</f>
        <v>0</v>
      </c>
      <c r="N18" s="35">
        <f>'Anne-6'!W18</f>
        <v>0</v>
      </c>
      <c r="O18" s="8">
        <f>'Anne-7'!L18</f>
        <v>0</v>
      </c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7126983</v>
      </c>
      <c r="E19" s="8"/>
      <c r="F19" s="8">
        <f t="shared" si="2"/>
        <v>7126983</v>
      </c>
      <c r="G19" s="207">
        <f>'Anne-6'!G19</f>
        <v>16230170</v>
      </c>
      <c r="H19" s="8">
        <f>'Anne-6'!S19+'Anne-7'!I19</f>
        <v>6793228</v>
      </c>
      <c r="I19" s="8">
        <f>'Anne-6'!I19</f>
        <v>6838275</v>
      </c>
      <c r="J19" s="8">
        <f>'Anne-7'!J19</f>
        <v>5969505</v>
      </c>
      <c r="K19" s="8">
        <f>'Anne-6'!N19</f>
        <v>6245950</v>
      </c>
      <c r="L19" s="9">
        <f>'Anne-6'!K19</f>
        <v>1683304</v>
      </c>
      <c r="M19" s="8">
        <f>'Anne-6'!V19</f>
        <v>0</v>
      </c>
      <c r="N19" s="35">
        <f>'Anne-6'!W19</f>
        <v>0</v>
      </c>
      <c r="O19" s="8">
        <f>'Anne-7'!L19</f>
        <v>2027374</v>
      </c>
      <c r="P19" s="8"/>
      <c r="Q19" s="35"/>
      <c r="R19" s="35">
        <f t="shared" si="1"/>
        <v>45787806</v>
      </c>
      <c r="S19" s="36">
        <f t="shared" si="0"/>
        <v>52914789</v>
      </c>
      <c r="T19" s="141">
        <f>D19/S19*100</f>
        <v>13.468792250121227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7723156</v>
      </c>
      <c r="E20" s="8"/>
      <c r="F20" s="8">
        <f t="shared" si="2"/>
        <v>7723156</v>
      </c>
      <c r="G20" s="10">
        <f>'Anne-6'!G20</f>
        <v>3502337</v>
      </c>
      <c r="H20" s="8">
        <f>'Anne-6'!S20+'Anne-7'!I20</f>
        <v>2940711</v>
      </c>
      <c r="I20" s="8">
        <f>'Anne-6'!I20</f>
        <v>6202153</v>
      </c>
      <c r="J20" s="8">
        <f>'Anne-7'!J20</f>
        <v>1817832</v>
      </c>
      <c r="K20" s="84">
        <f>'Anne-6'!N20</f>
        <v>7921428</v>
      </c>
      <c r="L20" s="9">
        <f>'Anne-6'!K20</f>
        <v>104883</v>
      </c>
      <c r="M20" s="8">
        <f>'Anne-6'!V20</f>
        <v>0</v>
      </c>
      <c r="N20" s="35">
        <f>'Anne-6'!W20</f>
        <v>0</v>
      </c>
      <c r="O20" s="8">
        <f>'Anne-7'!L20</f>
        <v>480168</v>
      </c>
      <c r="P20" s="8"/>
      <c r="Q20" s="35"/>
      <c r="R20" s="35">
        <f t="shared" si="1"/>
        <v>22969512</v>
      </c>
      <c r="S20" s="36">
        <f t="shared" si="0"/>
        <v>30692668</v>
      </c>
      <c r="T20" s="141">
        <f>D20/S20*100</f>
        <v>25.16286951658944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5244870</v>
      </c>
      <c r="E21" s="8"/>
      <c r="F21" s="8">
        <f t="shared" si="2"/>
        <v>5244870</v>
      </c>
      <c r="G21" s="207">
        <f>'Anne-6'!G21</f>
        <v>10119919</v>
      </c>
      <c r="H21" s="84">
        <f>'Anne-6'!S21+'Anne-7'!I21</f>
        <v>12262899</v>
      </c>
      <c r="I21" s="8">
        <f>'Anne-6'!I21</f>
        <v>4308262</v>
      </c>
      <c r="J21" s="8">
        <f>'Anne-7'!J21</f>
        <v>3887364</v>
      </c>
      <c r="K21" s="84">
        <f>'Anne-6'!N21</f>
        <v>15558619</v>
      </c>
      <c r="L21" s="9">
        <f>'Anne-6'!K21</f>
        <v>97694</v>
      </c>
      <c r="M21" s="8">
        <f>'Anne-6'!V21</f>
        <v>0</v>
      </c>
      <c r="N21" s="35">
        <f>'Anne-6'!W21</f>
        <v>684665</v>
      </c>
      <c r="O21" s="8">
        <f>'Anne-7'!L21</f>
        <v>0</v>
      </c>
      <c r="P21" s="8"/>
      <c r="Q21" s="35"/>
      <c r="R21" s="35">
        <f t="shared" si="1"/>
        <v>46919422</v>
      </c>
      <c r="S21" s="36">
        <f t="shared" si="0"/>
        <v>52164292</v>
      </c>
      <c r="T21" s="141">
        <f>D21/S21*100</f>
        <v>10.05452158729577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6875597</v>
      </c>
      <c r="E22" s="8"/>
      <c r="F22" s="8">
        <f t="shared" si="2"/>
        <v>6875597</v>
      </c>
      <c r="G22" s="207">
        <f>'Anne-6'!G22</f>
        <v>10092142</v>
      </c>
      <c r="H22" s="84">
        <f>'Anne-6'!S22+'Anne-7'!I22</f>
        <v>7979614</v>
      </c>
      <c r="I22" s="84">
        <f>'Anne-6'!I22</f>
        <v>13447847</v>
      </c>
      <c r="J22" s="8">
        <f>'Anne-7'!J22</f>
        <v>6229743</v>
      </c>
      <c r="K22" s="84">
        <f>'Anne-6'!N22</f>
        <v>16386735</v>
      </c>
      <c r="L22" s="9">
        <f>'Anne-6'!K22</f>
        <v>1189688</v>
      </c>
      <c r="M22" s="8">
        <f>'Anne-6'!V22</f>
        <v>5582082</v>
      </c>
      <c r="N22" s="35">
        <f>'Anne-6'!W22</f>
        <v>0</v>
      </c>
      <c r="O22" s="8">
        <f>'Anne-7'!L22</f>
        <v>616917</v>
      </c>
      <c r="P22" s="8"/>
      <c r="Q22" s="35"/>
      <c r="R22" s="35">
        <f t="shared" si="1"/>
        <v>61524768</v>
      </c>
      <c r="S22" s="36">
        <f t="shared" si="0"/>
        <v>68400365</v>
      </c>
      <c r="T22" s="141">
        <f>D22/S22*100</f>
        <v>10.05198875766233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1756598</v>
      </c>
      <c r="E23" s="8"/>
      <c r="F23" s="8">
        <f t="shared" si="2"/>
        <v>1756598</v>
      </c>
      <c r="G23" s="207">
        <f>'Anne-6'!G23</f>
        <v>2730003</v>
      </c>
      <c r="H23" s="8">
        <f>'Anne-6'!S23+'Anne-7'!I23</f>
        <v>857127</v>
      </c>
      <c r="I23" s="8">
        <f>'Anne-6'!I23</f>
        <v>997941</v>
      </c>
      <c r="J23" s="8">
        <f>'Anne-7'!J23</f>
        <v>0</v>
      </c>
      <c r="K23" s="8">
        <f>'Anne-6'!N23</f>
        <v>294709</v>
      </c>
      <c r="L23" s="456">
        <f>'Anne-6'!K23</f>
        <v>2324164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7203944</v>
      </c>
      <c r="S23" s="36">
        <f t="shared" si="0"/>
        <v>8960542</v>
      </c>
      <c r="T23" s="141">
        <f>D23/S23*100</f>
        <v>19.603702543886296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>
        <f>'Anne-6'!D24+'Anne-7'!F24</f>
        <v>0</v>
      </c>
      <c r="E24" s="8"/>
      <c r="F24" s="8">
        <f>D24+E24</f>
        <v>0</v>
      </c>
      <c r="G24" s="10">
        <f>'Anne-6'!G24</f>
        <v>0</v>
      </c>
      <c r="H24" s="8">
        <f>'Anne-6'!S24+'Anne-7'!I24</f>
        <v>0</v>
      </c>
      <c r="I24" s="8">
        <f>'Anne-6'!I24</f>
        <v>0</v>
      </c>
      <c r="J24" s="8">
        <f>'Anne-7'!J24</f>
        <v>0</v>
      </c>
      <c r="K24" s="8">
        <f>'Anne-6'!N24</f>
        <v>0</v>
      </c>
      <c r="L24" s="9">
        <f>'Anne-6'!K24</f>
        <v>0</v>
      </c>
      <c r="M24" s="8">
        <f>'Anne-6'!V24</f>
        <v>0</v>
      </c>
      <c r="N24" s="35">
        <f>'Anne-6'!W24</f>
        <v>0</v>
      </c>
      <c r="O24" s="8">
        <f>'Anne-7'!L24</f>
        <v>0</v>
      </c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2</v>
      </c>
      <c r="D25" s="25">
        <f>'Anne-6'!D25+'Anne-7'!F25</f>
        <v>4513362</v>
      </c>
      <c r="E25" s="8"/>
      <c r="F25" s="8">
        <f t="shared" si="2"/>
        <v>4513362</v>
      </c>
      <c r="G25" s="207">
        <f>'Anne-6'!G25</f>
        <v>6929384</v>
      </c>
      <c r="H25" s="8">
        <f>'Anne-6'!S25+'Anne-7'!I25</f>
        <v>3996926</v>
      </c>
      <c r="I25" s="8">
        <f>'Anne-6'!I25</f>
        <v>3048204</v>
      </c>
      <c r="J25" s="8">
        <f>'Anne-7'!J25</f>
        <v>2087122</v>
      </c>
      <c r="K25" s="8">
        <f>'Anne-6'!N25</f>
        <v>1096141</v>
      </c>
      <c r="L25" s="9">
        <f>'Anne-6'!K25</f>
        <v>2930796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20088573</v>
      </c>
      <c r="S25" s="36">
        <f t="shared" si="0"/>
        <v>24601935</v>
      </c>
      <c r="T25" s="141">
        <f>D25/S25*100</f>
        <v>18.345556965336264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4432323</v>
      </c>
      <c r="E26" s="8"/>
      <c r="F26" s="8">
        <f t="shared" si="2"/>
        <v>4432323</v>
      </c>
      <c r="G26" s="207">
        <f>'Anne-6'!G26</f>
        <v>7023854</v>
      </c>
      <c r="H26" s="8">
        <f>'Anne-6'!S26+'Anne-7'!I26</f>
        <v>3048056</v>
      </c>
      <c r="I26" s="84">
        <f>'Anne-6'!I26</f>
        <v>4448199</v>
      </c>
      <c r="J26" s="8">
        <f>'Anne-7'!J26</f>
        <v>2413378</v>
      </c>
      <c r="K26" s="84">
        <f>'Anne-6'!N26</f>
        <v>5791458</v>
      </c>
      <c r="L26" s="9">
        <f>'Anne-6'!K26</f>
        <v>939369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1367658</v>
      </c>
      <c r="Q26" s="35"/>
      <c r="R26" s="35">
        <f t="shared" si="1"/>
        <v>25031972</v>
      </c>
      <c r="S26" s="36">
        <f t="shared" si="0"/>
        <v>29464295</v>
      </c>
      <c r="T26" s="141">
        <f>D26/S26*100</f>
        <v>15.043030895529657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3</v>
      </c>
      <c r="D27" s="25">
        <f>'Anne-6'!D27+'Anne-7'!F27</f>
        <v>5966452</v>
      </c>
      <c r="E27" s="8"/>
      <c r="F27" s="8">
        <f t="shared" si="2"/>
        <v>5966452</v>
      </c>
      <c r="G27" s="207">
        <f>'Anne-6'!G27</f>
        <v>14739111</v>
      </c>
      <c r="H27" s="8">
        <f>'Anne-6'!S27+'Anne-7'!I27</f>
        <v>5707873</v>
      </c>
      <c r="I27" s="84">
        <f>'Anne-6'!I27</f>
        <v>8962083</v>
      </c>
      <c r="J27" s="8">
        <f>'Anne-7'!J27</f>
        <v>2895806</v>
      </c>
      <c r="K27" s="8">
        <f>'Anne-6'!N27</f>
        <v>5144489</v>
      </c>
      <c r="L27" s="9">
        <f>'Anne-6'!K27</f>
        <v>2965515</v>
      </c>
      <c r="M27" s="8">
        <f>'Anne-6'!V27</f>
        <v>0</v>
      </c>
      <c r="N27" s="35">
        <f>'Anne-6'!W27</f>
        <v>0</v>
      </c>
      <c r="O27" s="8">
        <f>'Anne-7'!L27</f>
        <v>2219801</v>
      </c>
      <c r="P27" s="8"/>
      <c r="Q27" s="35"/>
      <c r="R27" s="35">
        <f t="shared" si="1"/>
        <v>42634678</v>
      </c>
      <c r="S27" s="36">
        <f t="shared" si="0"/>
        <v>48601130</v>
      </c>
      <c r="T27" s="141">
        <f>D27/S27*100</f>
        <v>12.276364767650465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8028640</v>
      </c>
      <c r="E28" s="8"/>
      <c r="F28" s="8">
        <f t="shared" si="2"/>
        <v>8028640</v>
      </c>
      <c r="G28" s="207">
        <f>'Anne-6'!G28</f>
        <v>9813144</v>
      </c>
      <c r="H28" s="8">
        <f>'Anne-6'!S28+'Anne-7'!I28</f>
        <v>6156168</v>
      </c>
      <c r="I28" s="84">
        <f>'Anne-6'!I28</f>
        <v>10107119</v>
      </c>
      <c r="J28" s="8">
        <f>'Anne-7'!J28</f>
        <v>3963007</v>
      </c>
      <c r="K28" s="8">
        <f>'Anne-6'!N28</f>
        <v>2308196</v>
      </c>
      <c r="L28" s="456">
        <f>'Anne-6'!K28</f>
        <v>17341782</v>
      </c>
      <c r="M28" s="8">
        <f>'Anne-6'!V28</f>
        <v>0</v>
      </c>
      <c r="N28" s="35">
        <f>'Anne-6'!W28</f>
        <v>0</v>
      </c>
      <c r="O28" s="8">
        <f>'Anne-7'!L28</f>
        <v>1190437</v>
      </c>
      <c r="P28" s="8"/>
      <c r="Q28" s="35"/>
      <c r="R28" s="35">
        <f t="shared" si="1"/>
        <v>50879853</v>
      </c>
      <c r="S28" s="36">
        <f t="shared" si="0"/>
        <v>58908493</v>
      </c>
      <c r="T28" s="141">
        <f>D28/S28*100</f>
        <v>13.629002527700038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>
        <f>'Anne-6'!D29+'Anne-7'!F29</f>
        <v>0</v>
      </c>
      <c r="E29" s="8"/>
      <c r="F29" s="8">
        <f t="shared" si="2"/>
        <v>0</v>
      </c>
      <c r="G29" s="10">
        <f>'Anne-6'!G29</f>
        <v>0</v>
      </c>
      <c r="H29" s="8">
        <f>'Anne-6'!S29+'Anne-7'!I29</f>
        <v>0</v>
      </c>
      <c r="I29" s="8">
        <f>'Anne-6'!I29</f>
        <v>0</v>
      </c>
      <c r="J29" s="8">
        <f>'Anne-7'!J29</f>
        <v>0</v>
      </c>
      <c r="K29" s="8">
        <f>'Anne-6'!N29</f>
        <v>0</v>
      </c>
      <c r="L29" s="9">
        <f>'Anne-6'!K29</f>
        <v>0</v>
      </c>
      <c r="M29" s="8">
        <f>'Anne-6'!V29</f>
        <v>0</v>
      </c>
      <c r="N29" s="35">
        <f>'Anne-6'!W29</f>
        <v>0</v>
      </c>
      <c r="O29" s="8">
        <f>'Anne-7'!L29</f>
        <v>0</v>
      </c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10434924</v>
      </c>
      <c r="E30" s="8"/>
      <c r="F30" s="8">
        <f t="shared" si="2"/>
        <v>10434924</v>
      </c>
      <c r="G30" s="207">
        <f>'Anne-6'!G30</f>
        <v>15238226</v>
      </c>
      <c r="H30" s="8">
        <f>'Anne-6'!S30+'Anne-7'!I30</f>
        <v>9771820</v>
      </c>
      <c r="I30" s="84">
        <f>'Anne-6'!I30</f>
        <v>14874457</v>
      </c>
      <c r="J30" s="8">
        <f>'Anne-7'!J30</f>
        <v>4013622</v>
      </c>
      <c r="K30" s="8">
        <f>'Anne-6'!N30</f>
        <v>7411646</v>
      </c>
      <c r="L30" s="9">
        <f>'Anne-6'!K30</f>
        <v>3998723</v>
      </c>
      <c r="M30" s="8">
        <f>'Anne-6'!V30</f>
        <v>7545557</v>
      </c>
      <c r="N30" s="35">
        <f>'Anne-6'!W30</f>
        <v>14622</v>
      </c>
      <c r="O30" s="8">
        <f>'Anne-7'!L30</f>
        <v>520553</v>
      </c>
      <c r="P30" s="8"/>
      <c r="Q30" s="35"/>
      <c r="R30" s="35">
        <f t="shared" si="1"/>
        <v>63389226</v>
      </c>
      <c r="S30" s="36">
        <f t="shared" si="0"/>
        <v>73824150</v>
      </c>
      <c r="T30" s="141">
        <f aca="true" t="shared" si="3" ref="T30:T38">D30/S30*100</f>
        <v>14.134837990007334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4902736</v>
      </c>
      <c r="E31" s="8"/>
      <c r="F31" s="8">
        <f t="shared" si="2"/>
        <v>4902736</v>
      </c>
      <c r="G31" s="207">
        <f>'Anne-6'!G31</f>
        <v>6625510</v>
      </c>
      <c r="H31" s="84">
        <f>'Anne-6'!S31+'Anne-7'!I31</f>
        <v>6699061</v>
      </c>
      <c r="I31" s="84">
        <f>'Anne-6'!I31</f>
        <v>9486340</v>
      </c>
      <c r="J31" s="8">
        <f>'Anne-7'!J31</f>
        <v>3842094</v>
      </c>
      <c r="K31" s="84">
        <f>'Anne-6'!N31</f>
        <v>10792314</v>
      </c>
      <c r="L31" s="9">
        <f>'Anne-6'!K31</f>
        <v>559150</v>
      </c>
      <c r="M31" s="84">
        <f>'Anne-6'!V31</f>
        <v>4953604</v>
      </c>
      <c r="N31" s="35">
        <f>'Anne-6'!W31</f>
        <v>3621</v>
      </c>
      <c r="O31" s="8">
        <f>'Anne-7'!L31</f>
        <v>535055</v>
      </c>
      <c r="P31" s="8"/>
      <c r="Q31" s="35"/>
      <c r="R31" s="35">
        <f t="shared" si="1"/>
        <v>43496749</v>
      </c>
      <c r="S31" s="36">
        <f t="shared" si="0"/>
        <v>48399485</v>
      </c>
      <c r="T31" s="141">
        <f t="shared" si="3"/>
        <v>10.129727620035627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4</v>
      </c>
      <c r="D32" s="25">
        <f>'Anne-6'!D32+'Anne-7'!F32</f>
        <v>3609491</v>
      </c>
      <c r="E32" s="8"/>
      <c r="F32" s="8">
        <f t="shared" si="2"/>
        <v>3609491</v>
      </c>
      <c r="G32" s="207">
        <f>'Anne-6'!G32</f>
        <v>9272222</v>
      </c>
      <c r="H32" s="84">
        <f>'Anne-6'!S32+'Anne-7'!I32</f>
        <v>6997667</v>
      </c>
      <c r="I32" s="84">
        <f>'Anne-6'!I32</f>
        <v>11601064</v>
      </c>
      <c r="J32" s="8">
        <f>'Anne-7'!J32</f>
        <v>2083104</v>
      </c>
      <c r="K32" s="8">
        <f>'Anne-6'!N32</f>
        <v>2660460</v>
      </c>
      <c r="L32" s="9">
        <f>'Anne-6'!K32</f>
        <v>3011255</v>
      </c>
      <c r="M32" s="8">
        <f>'Anne-6'!V32</f>
        <v>0</v>
      </c>
      <c r="N32" s="35">
        <f>'Anne-6'!W32</f>
        <v>0</v>
      </c>
      <c r="O32" s="8">
        <f>'Anne-7'!L32</f>
        <v>1924596</v>
      </c>
      <c r="P32" s="8"/>
      <c r="Q32" s="35"/>
      <c r="R32" s="35">
        <f t="shared" si="1"/>
        <v>37550368</v>
      </c>
      <c r="S32" s="36">
        <f t="shared" si="0"/>
        <v>41159859</v>
      </c>
      <c r="T32" s="141">
        <f t="shared" si="3"/>
        <v>8.769444521177782</v>
      </c>
      <c r="W32" s="2">
        <v>0</v>
      </c>
    </row>
    <row r="33" spans="1:23" ht="15.75">
      <c r="A33" s="5">
        <v>25</v>
      </c>
      <c r="B33" s="6" t="s">
        <v>45</v>
      </c>
      <c r="C33" s="85">
        <v>5</v>
      </c>
      <c r="D33" s="25">
        <f>'Anne-6'!D33+'Anne-7'!F33</f>
        <v>2295879</v>
      </c>
      <c r="E33" s="8"/>
      <c r="F33" s="8">
        <f t="shared" si="2"/>
        <v>2295879</v>
      </c>
      <c r="G33" s="207">
        <f>'Anne-6'!G33</f>
        <v>3685291</v>
      </c>
      <c r="H33" s="84">
        <f>'Anne-6'!S33+'Anne-7'!I33</f>
        <v>4106422</v>
      </c>
      <c r="I33" s="84">
        <f>'Anne-6'!I33</f>
        <v>4183689</v>
      </c>
      <c r="J33" s="84">
        <f>'Anne-7'!J33</f>
        <v>2896902</v>
      </c>
      <c r="K33" s="8">
        <f>'Anne-6'!N33</f>
        <v>1372181</v>
      </c>
      <c r="L33" s="9">
        <f>'Anne-6'!K33</f>
        <v>1876027</v>
      </c>
      <c r="M33" s="8">
        <f>'Anne-6'!V33</f>
        <v>0</v>
      </c>
      <c r="N33" s="35">
        <f>'Anne-6'!W33</f>
        <v>0</v>
      </c>
      <c r="O33" s="8">
        <f>'Anne-7'!L33</f>
        <v>843673</v>
      </c>
      <c r="P33" s="8"/>
      <c r="Q33" s="35"/>
      <c r="R33" s="35">
        <f t="shared" si="1"/>
        <v>18964185</v>
      </c>
      <c r="S33" s="36">
        <f t="shared" si="0"/>
        <v>21260064</v>
      </c>
      <c r="T33" s="141">
        <f t="shared" si="3"/>
        <v>10.799022053743583</v>
      </c>
      <c r="W33" s="23">
        <v>0</v>
      </c>
    </row>
    <row r="34" spans="1:23" ht="15.75">
      <c r="A34" s="5">
        <v>26</v>
      </c>
      <c r="B34" s="6" t="s">
        <v>46</v>
      </c>
      <c r="C34" s="85">
        <v>3</v>
      </c>
      <c r="D34" s="25">
        <f>'Anne-6'!D34+'Anne-7'!F34</f>
        <v>1569258</v>
      </c>
      <c r="E34" s="8"/>
      <c r="F34" s="8">
        <f t="shared" si="2"/>
        <v>1569258</v>
      </c>
      <c r="G34" s="207">
        <f>'Anne-6'!G34</f>
        <v>3676648</v>
      </c>
      <c r="H34" s="8">
        <f>'Anne-6'!S34+'Anne-7'!I34</f>
        <v>872827</v>
      </c>
      <c r="I34" s="84">
        <f>'Anne-6'!I34</f>
        <v>2118352</v>
      </c>
      <c r="J34" s="8">
        <f>'Anne-7'!J34</f>
        <v>1400845</v>
      </c>
      <c r="K34" s="8">
        <f>'Anne-6'!N34</f>
        <v>0</v>
      </c>
      <c r="L34" s="456">
        <f>'Anne-6'!K34</f>
        <v>3865969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11934641</v>
      </c>
      <c r="S34" s="36">
        <f t="shared" si="0"/>
        <v>13503899</v>
      </c>
      <c r="T34" s="141">
        <f t="shared" si="3"/>
        <v>11.620777080752752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101206625</v>
      </c>
      <c r="E35" s="8">
        <f t="shared" si="4"/>
        <v>0</v>
      </c>
      <c r="F35" s="8">
        <f t="shared" si="4"/>
        <v>101206625</v>
      </c>
      <c r="G35" s="8">
        <f t="shared" si="4"/>
        <v>175074804</v>
      </c>
      <c r="H35" s="8">
        <f>SUM(H9:H34)</f>
        <v>109162067</v>
      </c>
      <c r="I35" s="8">
        <f t="shared" si="4"/>
        <v>137406440</v>
      </c>
      <c r="J35" s="8">
        <f t="shared" si="4"/>
        <v>59342123</v>
      </c>
      <c r="K35" s="8">
        <f>SUM(K9:K34)</f>
        <v>113601528</v>
      </c>
      <c r="L35" s="8">
        <f t="shared" si="4"/>
        <v>55581641</v>
      </c>
      <c r="M35" s="8">
        <f>SUM(M9:M34)</f>
        <v>31683600</v>
      </c>
      <c r="N35" s="25">
        <f>SUM(N9:N34)</f>
        <v>2009474</v>
      </c>
      <c r="O35" s="8">
        <f>SUM(O9:O34)</f>
        <v>10570054</v>
      </c>
      <c r="P35" s="8">
        <f>SUM(P9:P34)</f>
        <v>1367658</v>
      </c>
      <c r="Q35" s="8"/>
      <c r="R35" s="8">
        <f t="shared" si="4"/>
        <v>695799389</v>
      </c>
      <c r="S35" s="8">
        <f t="shared" si="4"/>
        <v>797006014</v>
      </c>
      <c r="T35" s="141">
        <f t="shared" si="3"/>
        <v>12.698351483204743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2594125</v>
      </c>
      <c r="F36" s="8">
        <f t="shared" si="2"/>
        <v>2594125</v>
      </c>
      <c r="G36" s="10">
        <f>'Anne-6'!G36</f>
        <v>9292512</v>
      </c>
      <c r="H36" s="8">
        <f>'Anne-6'!S36+'Anne-7'!I36</f>
        <v>7685827</v>
      </c>
      <c r="I36" s="8">
        <f>'Anne-6'!I36</f>
        <v>8534062</v>
      </c>
      <c r="J36" s="8">
        <f>'Anne-7'!J36</f>
        <v>3564544</v>
      </c>
      <c r="K36" s="8">
        <f>'Anne-6'!N36</f>
        <v>4895910</v>
      </c>
      <c r="L36" s="9">
        <f>'Anne-6'!K36</f>
        <v>2942096</v>
      </c>
      <c r="M36" s="8">
        <f>'Anne-6'!V36</f>
        <v>0</v>
      </c>
      <c r="N36" s="35">
        <f>'Anne-6'!W36</f>
        <v>0</v>
      </c>
      <c r="O36" s="8">
        <f>'Anne-7'!L36</f>
        <v>917353</v>
      </c>
      <c r="P36" s="8">
        <f>'Anne-7'!K36</f>
        <v>0</v>
      </c>
      <c r="Q36" s="35"/>
      <c r="R36" s="35">
        <f t="shared" si="1"/>
        <v>37832304</v>
      </c>
      <c r="S36" s="36">
        <f>R36+F36</f>
        <v>40426429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2406700</v>
      </c>
      <c r="F37" s="8">
        <f t="shared" si="2"/>
        <v>2406700</v>
      </c>
      <c r="G37" s="10">
        <f>'Anne-6'!G37</f>
        <v>3828755</v>
      </c>
      <c r="H37" s="8">
        <f>'Anne-6'!S37+'Anne-7'!I37</f>
        <v>6124823</v>
      </c>
      <c r="I37" s="8">
        <f>'Anne-6'!I37</f>
        <v>6413152</v>
      </c>
      <c r="J37" s="8">
        <f>'Anne-7'!J37</f>
        <v>3509471</v>
      </c>
      <c r="K37" s="8">
        <f>'Anne-6'!N37</f>
        <v>3109952</v>
      </c>
      <c r="L37" s="9">
        <f>'Anne-6'!K37</f>
        <v>1548230</v>
      </c>
      <c r="M37" s="8">
        <f>'Anne-6'!V37</f>
        <v>0</v>
      </c>
      <c r="N37" s="35">
        <f>'Anne-6'!W37</f>
        <v>0</v>
      </c>
      <c r="O37" s="8">
        <f>'Anne-7'!L37</f>
        <v>424603</v>
      </c>
      <c r="P37" s="8">
        <f>'Anne-7'!K37</f>
        <v>0</v>
      </c>
      <c r="Q37" s="35">
        <f>'Anne-6'!X37</f>
        <v>2987976</v>
      </c>
      <c r="R37" s="35">
        <f t="shared" si="1"/>
        <v>27946962</v>
      </c>
      <c r="S37" s="36">
        <f>R37+F37</f>
        <v>30353662</v>
      </c>
      <c r="T37" s="141">
        <f t="shared" si="3"/>
        <v>0</v>
      </c>
      <c r="V37" s="23"/>
    </row>
    <row r="38" spans="1:20" s="97" customFormat="1" ht="15">
      <c r="A38" s="447"/>
      <c r="B38" s="422" t="s">
        <v>50</v>
      </c>
      <c r="C38" s="447">
        <v>5</v>
      </c>
      <c r="D38" s="70">
        <f aca="true" t="shared" si="5" ref="D38:S38">SUM(D35:D37)</f>
        <v>101206625</v>
      </c>
      <c r="E38" s="70">
        <f t="shared" si="5"/>
        <v>5000825</v>
      </c>
      <c r="F38" s="70">
        <f t="shared" si="5"/>
        <v>106207450</v>
      </c>
      <c r="G38" s="70">
        <f t="shared" si="5"/>
        <v>188196071</v>
      </c>
      <c r="H38" s="70">
        <f>SUM(H35:H37)</f>
        <v>122972717</v>
      </c>
      <c r="I38" s="70">
        <f t="shared" si="5"/>
        <v>152353654</v>
      </c>
      <c r="J38" s="70">
        <f t="shared" si="5"/>
        <v>66416138</v>
      </c>
      <c r="K38" s="70">
        <f>SUM(K35:K37)</f>
        <v>121607390</v>
      </c>
      <c r="L38" s="70">
        <f t="shared" si="5"/>
        <v>60071967</v>
      </c>
      <c r="M38" s="70">
        <f>SUM(M35:M37)</f>
        <v>31683600</v>
      </c>
      <c r="N38" s="70">
        <f>SUM(N35:N37)</f>
        <v>2009474</v>
      </c>
      <c r="O38" s="70">
        <f>SUM(O35:O37)</f>
        <v>11912010</v>
      </c>
      <c r="P38" s="70">
        <f>SUM(P35:P37)</f>
        <v>1367658</v>
      </c>
      <c r="Q38" s="70">
        <f t="shared" si="5"/>
        <v>2987976</v>
      </c>
      <c r="R38" s="70">
        <f t="shared" si="5"/>
        <v>761578655</v>
      </c>
      <c r="S38" s="70">
        <f t="shared" si="5"/>
        <v>867786105</v>
      </c>
      <c r="T38" s="448">
        <f t="shared" si="3"/>
        <v>11.662623360395935</v>
      </c>
    </row>
    <row r="39" spans="1:22" ht="14.25">
      <c r="A39" s="107" t="s">
        <v>51</v>
      </c>
      <c r="B39" s="108"/>
      <c r="C39" s="108"/>
      <c r="D39" s="139">
        <f>D38/$S$38*100</f>
        <v>11.662623360395935</v>
      </c>
      <c r="E39" s="139">
        <f aca="true" t="shared" si="6" ref="E39:J39">E38/$S$38*100</f>
        <v>0.5762739194815755</v>
      </c>
      <c r="F39" s="139">
        <f t="shared" si="6"/>
        <v>12.238897279877511</v>
      </c>
      <c r="G39" s="139">
        <f t="shared" si="6"/>
        <v>21.68691915158056</v>
      </c>
      <c r="H39" s="139">
        <f t="shared" si="6"/>
        <v>14.17085573178197</v>
      </c>
      <c r="I39" s="139">
        <f t="shared" si="6"/>
        <v>17.55659063012999</v>
      </c>
      <c r="J39" s="139">
        <f t="shared" si="6"/>
        <v>7.653514802475432</v>
      </c>
      <c r="K39" s="139">
        <f aca="true" t="shared" si="7" ref="K39:R39">K38/$S$38*100</f>
        <v>14.013521223643007</v>
      </c>
      <c r="L39" s="139">
        <f t="shared" si="7"/>
        <v>6.922439372315139</v>
      </c>
      <c r="M39" s="139">
        <f t="shared" si="7"/>
        <v>3.6510840421903272</v>
      </c>
      <c r="N39" s="139">
        <f t="shared" si="7"/>
        <v>0.23156328367345777</v>
      </c>
      <c r="O39" s="139">
        <f t="shared" si="7"/>
        <v>1.372689644529397</v>
      </c>
      <c r="P39" s="139">
        <f t="shared" si="7"/>
        <v>0.1576031227188179</v>
      </c>
      <c r="Q39" s="139">
        <f t="shared" si="7"/>
        <v>0.344321715084387</v>
      </c>
      <c r="R39" s="139">
        <f t="shared" si="7"/>
        <v>87.76110272012248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0.12698351483204742</v>
      </c>
      <c r="E40" s="113">
        <f>E35/S35</f>
        <v>0</v>
      </c>
      <c r="F40" s="113">
        <f>F35/S35</f>
        <v>0.12698351483204742</v>
      </c>
      <c r="G40" s="113">
        <f>G35/S35</f>
        <v>0.21966559966258925</v>
      </c>
      <c r="H40" s="113"/>
      <c r="I40" s="113">
        <f>I35/S35</f>
        <v>0.1724032662067215</v>
      </c>
      <c r="J40" s="113"/>
      <c r="K40" s="113">
        <f>K35/S35</f>
        <v>0.14253534603817933</v>
      </c>
      <c r="L40" s="113">
        <f>L35/S35</f>
        <v>0.06973804466173075</v>
      </c>
      <c r="M40" s="113"/>
      <c r="N40" s="113"/>
      <c r="O40" s="113"/>
      <c r="P40" s="113"/>
      <c r="Q40" s="113">
        <f>Q35/S35</f>
        <v>0</v>
      </c>
      <c r="R40" s="113">
        <f>R35/S35</f>
        <v>0.8730164851679526</v>
      </c>
      <c r="S40" s="113">
        <f>S35/S35</f>
        <v>1</v>
      </c>
      <c r="T40" s="143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28.02.2013</v>
      </c>
      <c r="B42" s="108"/>
      <c r="C42" s="118">
        <v>5</v>
      </c>
      <c r="D42" s="8">
        <v>100670567</v>
      </c>
      <c r="E42" s="8">
        <v>5098040</v>
      </c>
      <c r="F42" s="8">
        <v>105768607</v>
      </c>
      <c r="G42" s="8">
        <v>186622120</v>
      </c>
      <c r="H42" s="8">
        <v>119945979</v>
      </c>
      <c r="I42" s="8">
        <v>149886765</v>
      </c>
      <c r="J42" s="8">
        <v>66989775</v>
      </c>
      <c r="K42" s="8">
        <v>119259713</v>
      </c>
      <c r="L42" s="8">
        <v>60872785</v>
      </c>
      <c r="M42" s="8">
        <v>31770774</v>
      </c>
      <c r="N42" s="8">
        <v>2060119</v>
      </c>
      <c r="O42" s="8">
        <v>14033836</v>
      </c>
      <c r="P42" s="8">
        <v>1444026</v>
      </c>
      <c r="Q42" s="8">
        <v>3028539</v>
      </c>
      <c r="R42" s="8">
        <v>755914431</v>
      </c>
      <c r="S42" s="8">
        <v>861683038</v>
      </c>
      <c r="T42" s="142">
        <f>(D42)/S42*100</f>
        <v>11.683015976925844</v>
      </c>
    </row>
    <row r="43" spans="1:22" ht="14.25">
      <c r="A43" s="107" t="str">
        <f>'Anne-4'!A41</f>
        <v>Addition during Mar 2013</v>
      </c>
      <c r="B43" s="108"/>
      <c r="C43" s="118">
        <v>5</v>
      </c>
      <c r="D43" s="8">
        <f aca="true" t="shared" si="8" ref="D43:S43">D38-D42</f>
        <v>536058</v>
      </c>
      <c r="E43" s="8">
        <f t="shared" si="8"/>
        <v>-97215</v>
      </c>
      <c r="F43" s="8">
        <f t="shared" si="8"/>
        <v>438843</v>
      </c>
      <c r="G43" s="8">
        <f t="shared" si="8"/>
        <v>1573951</v>
      </c>
      <c r="H43" s="8">
        <f t="shared" si="8"/>
        <v>3026738</v>
      </c>
      <c r="I43" s="8">
        <f t="shared" si="8"/>
        <v>2466889</v>
      </c>
      <c r="J43" s="8">
        <f t="shared" si="8"/>
        <v>-573637</v>
      </c>
      <c r="K43" s="8">
        <f t="shared" si="8"/>
        <v>2347677</v>
      </c>
      <c r="L43" s="8">
        <f t="shared" si="8"/>
        <v>-800818</v>
      </c>
      <c r="M43" s="8">
        <f>M38-M42</f>
        <v>-87174</v>
      </c>
      <c r="N43" s="8">
        <f>N38-N42</f>
        <v>-50645</v>
      </c>
      <c r="O43" s="8">
        <f>O38-O42</f>
        <v>-2121826</v>
      </c>
      <c r="P43" s="8">
        <f>P38-P42</f>
        <v>-76368</v>
      </c>
      <c r="Q43" s="8">
        <f t="shared" si="8"/>
        <v>-40563</v>
      </c>
      <c r="R43" s="8">
        <f t="shared" si="8"/>
        <v>5664224</v>
      </c>
      <c r="S43" s="8">
        <f t="shared" si="8"/>
        <v>6103067</v>
      </c>
      <c r="T43" s="429" t="s">
        <v>130</v>
      </c>
      <c r="V43" s="158">
        <f>T38-T42</f>
        <v>-0.02039261652990909</v>
      </c>
    </row>
    <row r="44" spans="1:22" ht="14.25">
      <c r="A44" s="107" t="str">
        <f>'Anne-4'!A42</f>
        <v>Conn. As on 31.03.2012</v>
      </c>
      <c r="B44" s="110"/>
      <c r="C44" s="4">
        <v>5</v>
      </c>
      <c r="D44" s="8">
        <v>98512988</v>
      </c>
      <c r="E44" s="8">
        <v>5844289</v>
      </c>
      <c r="F44" s="8">
        <v>104357277</v>
      </c>
      <c r="G44" s="8">
        <v>181279296</v>
      </c>
      <c r="H44" s="8">
        <v>153045692</v>
      </c>
      <c r="I44" s="8">
        <v>150465330</v>
      </c>
      <c r="J44" s="8">
        <v>81745797</v>
      </c>
      <c r="K44" s="8">
        <v>112722692</v>
      </c>
      <c r="L44" s="8">
        <v>62572579</v>
      </c>
      <c r="M44" s="8">
        <v>42431924</v>
      </c>
      <c r="N44" s="8">
        <v>5951588</v>
      </c>
      <c r="O44" s="8">
        <v>15803039</v>
      </c>
      <c r="P44" s="8">
        <v>1331392</v>
      </c>
      <c r="Q44" s="8">
        <v>3267241</v>
      </c>
      <c r="R44" s="8">
        <v>815739531</v>
      </c>
      <c r="S44" s="8">
        <v>920096808</v>
      </c>
      <c r="T44" s="144">
        <f>(D44)/S44*100</f>
        <v>10.706806842872995</v>
      </c>
      <c r="V44" s="158">
        <f>T38-T44</f>
        <v>0.9558165175229405</v>
      </c>
    </row>
    <row r="45" spans="1:20" ht="14.25">
      <c r="A45" s="107" t="str">
        <f>'Anne-4'!A43</f>
        <v>Addition during 2012-13</v>
      </c>
      <c r="B45" s="108"/>
      <c r="C45" s="4">
        <v>3</v>
      </c>
      <c r="D45" s="8">
        <f>D38-D44</f>
        <v>2693637</v>
      </c>
      <c r="E45" s="8">
        <f aca="true" t="shared" si="9" ref="E45:Q45">E38-E44</f>
        <v>-843464</v>
      </c>
      <c r="F45" s="8">
        <f t="shared" si="9"/>
        <v>1850173</v>
      </c>
      <c r="G45" s="8">
        <f t="shared" si="9"/>
        <v>6916775</v>
      </c>
      <c r="H45" s="8">
        <f t="shared" si="9"/>
        <v>-30072975</v>
      </c>
      <c r="I45" s="8">
        <f t="shared" si="9"/>
        <v>1888324</v>
      </c>
      <c r="J45" s="8">
        <f t="shared" si="9"/>
        <v>-15329659</v>
      </c>
      <c r="K45" s="8">
        <f t="shared" si="9"/>
        <v>8884698</v>
      </c>
      <c r="L45" s="8">
        <f t="shared" si="9"/>
        <v>-2500612</v>
      </c>
      <c r="M45" s="8">
        <f>M38-M44</f>
        <v>-10748324</v>
      </c>
      <c r="N45" s="8">
        <f>N38-N44</f>
        <v>-3942114</v>
      </c>
      <c r="O45" s="8">
        <f>O38-O44</f>
        <v>-3891029</v>
      </c>
      <c r="P45" s="8">
        <f>P38-P44</f>
        <v>36266</v>
      </c>
      <c r="Q45" s="8">
        <f t="shared" si="9"/>
        <v>-279265</v>
      </c>
      <c r="R45" s="8">
        <f>R38-R44</f>
        <v>-54160876</v>
      </c>
      <c r="S45" s="8">
        <f>S38-S44</f>
        <v>-52310703</v>
      </c>
      <c r="T45" s="429" t="s">
        <v>130</v>
      </c>
    </row>
    <row r="46" spans="1:20" ht="15">
      <c r="A46" s="2" t="str">
        <f>'Anne-6'!A46</f>
        <v>Note: As per TRAI report, M/s Etisalat, S. Tel and Loop (Except for Mumbai Circle) have submitted that there are no active subscribers on their network hence their figures have been taken as Zero.</v>
      </c>
      <c r="B46" s="26"/>
      <c r="C46" s="26"/>
      <c r="S46" s="23"/>
      <c r="T46" s="23"/>
    </row>
    <row r="47" spans="2:20" ht="15">
      <c r="B47" s="26"/>
      <c r="C47" s="26"/>
      <c r="D47" s="319">
        <f>D45/D44*100</f>
        <v>2.7342963143093377</v>
      </c>
      <c r="K47" s="23"/>
      <c r="S47" s="319">
        <f>S45/S44*100</f>
        <v>-5.685347731366111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2992760</v>
      </c>
      <c r="S49" s="23">
        <f>S11+S23</f>
        <v>23348206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F7:F8"/>
    <mergeCell ref="E7:E8"/>
    <mergeCell ref="A6:A8"/>
    <mergeCell ref="B6:B8"/>
    <mergeCell ref="C7:C8"/>
    <mergeCell ref="D7:D8"/>
    <mergeCell ref="J7:J8"/>
    <mergeCell ref="P7:P8"/>
    <mergeCell ref="I7:I8"/>
    <mergeCell ref="G7:G8"/>
    <mergeCell ref="K7:K8"/>
    <mergeCell ref="L7:L8"/>
    <mergeCell ref="N7:N8"/>
    <mergeCell ref="H7:H8"/>
    <mergeCell ref="T6:T8"/>
    <mergeCell ref="M7:M8"/>
    <mergeCell ref="R6:R8"/>
    <mergeCell ref="O7:O8"/>
    <mergeCell ref="S6:S8"/>
    <mergeCell ref="Q7:Q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50" sqref="E50:F51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30th April 2013.</v>
      </c>
    </row>
    <row r="4" spans="2:3" ht="15">
      <c r="B4" s="76" t="s">
        <v>243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482" t="s">
        <v>19</v>
      </c>
      <c r="B6" s="482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0" t="s">
        <v>53</v>
      </c>
      <c r="Z6" s="544" t="s">
        <v>70</v>
      </c>
      <c r="AA6" s="551" t="s">
        <v>120</v>
      </c>
      <c r="AB6" s="547" t="s">
        <v>99</v>
      </c>
      <c r="AC6" s="547"/>
      <c r="AD6" s="547"/>
    </row>
    <row r="7" spans="1:30" s="41" customFormat="1" ht="15.75" customHeight="1">
      <c r="A7" s="482"/>
      <c r="B7" s="482"/>
      <c r="C7" s="474" t="s">
        <v>118</v>
      </c>
      <c r="D7" s="556" t="s">
        <v>1</v>
      </c>
      <c r="E7" s="555" t="s">
        <v>2</v>
      </c>
      <c r="F7" s="550" t="s">
        <v>52</v>
      </c>
      <c r="G7" s="544" t="s">
        <v>54</v>
      </c>
      <c r="H7" s="374" t="s">
        <v>3</v>
      </c>
      <c r="I7" s="544" t="s">
        <v>110</v>
      </c>
      <c r="J7" s="375"/>
      <c r="K7" s="544" t="s">
        <v>55</v>
      </c>
      <c r="L7" s="375" t="s">
        <v>10</v>
      </c>
      <c r="M7" s="554" t="s">
        <v>14</v>
      </c>
      <c r="N7" s="544" t="s">
        <v>56</v>
      </c>
      <c r="O7" s="557" t="s">
        <v>11</v>
      </c>
      <c r="P7" s="558"/>
      <c r="Q7" s="558"/>
      <c r="R7" s="559"/>
      <c r="S7" s="544" t="s">
        <v>117</v>
      </c>
      <c r="T7" s="554" t="s">
        <v>13</v>
      </c>
      <c r="U7" s="554" t="s">
        <v>8</v>
      </c>
      <c r="V7" s="546" t="s">
        <v>134</v>
      </c>
      <c r="W7" s="546" t="s">
        <v>144</v>
      </c>
      <c r="X7" s="544" t="s">
        <v>188</v>
      </c>
      <c r="Y7" s="548"/>
      <c r="Z7" s="548"/>
      <c r="AA7" s="552"/>
      <c r="AB7" s="547"/>
      <c r="AC7" s="547"/>
      <c r="AD7" s="547"/>
    </row>
    <row r="8" spans="1:32" s="41" customFormat="1" ht="30.75" customHeight="1">
      <c r="A8" s="482"/>
      <c r="B8" s="482"/>
      <c r="C8" s="475"/>
      <c r="D8" s="556"/>
      <c r="E8" s="555"/>
      <c r="F8" s="549"/>
      <c r="G8" s="545"/>
      <c r="H8" s="75" t="s">
        <v>75</v>
      </c>
      <c r="I8" s="545"/>
      <c r="J8" s="373" t="s">
        <v>107</v>
      </c>
      <c r="K8" s="545"/>
      <c r="L8" s="376" t="s">
        <v>4</v>
      </c>
      <c r="M8" s="544"/>
      <c r="N8" s="545"/>
      <c r="O8" s="376"/>
      <c r="P8" s="373" t="s">
        <v>12</v>
      </c>
      <c r="Q8" s="373" t="s">
        <v>7</v>
      </c>
      <c r="R8" s="373" t="s">
        <v>9</v>
      </c>
      <c r="S8" s="545"/>
      <c r="T8" s="544"/>
      <c r="U8" s="544"/>
      <c r="V8" s="546"/>
      <c r="W8" s="546"/>
      <c r="X8" s="545"/>
      <c r="Y8" s="549"/>
      <c r="Z8" s="549"/>
      <c r="AA8" s="553"/>
      <c r="AB8" s="52" t="s">
        <v>47</v>
      </c>
      <c r="AC8" s="45" t="s">
        <v>87</v>
      </c>
      <c r="AD8" s="45" t="s">
        <v>88</v>
      </c>
      <c r="AE8" s="41" t="s">
        <v>122</v>
      </c>
      <c r="AF8" s="377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205650</v>
      </c>
      <c r="AC9" s="38">
        <v>118403</v>
      </c>
      <c r="AD9" s="38">
        <v>87247</v>
      </c>
      <c r="AF9" s="100">
        <v>203049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9290023</v>
      </c>
      <c r="E10" s="8"/>
      <c r="F10" s="8">
        <f>D10+E10</f>
        <v>9290023</v>
      </c>
      <c r="G10" s="207">
        <f aca="true" t="shared" si="1" ref="G10:G37">H10</f>
        <v>18251864</v>
      </c>
      <c r="H10" s="100">
        <v>18251864</v>
      </c>
      <c r="I10" s="8">
        <f>J10</f>
        <v>5865618</v>
      </c>
      <c r="J10" s="30">
        <v>5865618</v>
      </c>
      <c r="K10" s="8">
        <f>L10+M10</f>
        <v>1762191</v>
      </c>
      <c r="L10" s="30">
        <v>1762191</v>
      </c>
      <c r="M10" s="8"/>
      <c r="N10" s="84">
        <f aca="true" t="shared" si="2" ref="N10:N34">O10+P10+Q10</f>
        <v>11193280</v>
      </c>
      <c r="O10" s="30">
        <v>11193280</v>
      </c>
      <c r="P10" s="70"/>
      <c r="Q10" s="70"/>
      <c r="R10" s="70"/>
      <c r="S10" s="70">
        <f aca="true" t="shared" si="3" ref="S10:S37">T10+U10</f>
        <v>0</v>
      </c>
      <c r="T10" s="70">
        <v>0</v>
      </c>
      <c r="U10" s="70"/>
      <c r="V10" s="8">
        <v>4304686</v>
      </c>
      <c r="W10" s="8"/>
      <c r="X10" s="8"/>
      <c r="Y10" s="35">
        <f aca="true" t="shared" si="4" ref="Y10:Y37">G10+I10+K10+N10+S10+V10+W10+X10</f>
        <v>41377639</v>
      </c>
      <c r="Z10" s="36">
        <f t="shared" si="0"/>
        <v>50667662</v>
      </c>
      <c r="AA10" s="142">
        <f>(D10)/Z10*100</f>
        <v>18.33521152012106</v>
      </c>
      <c r="AB10" s="46">
        <f aca="true" t="shared" si="5" ref="AB10:AB34">AC10+AD10</f>
        <v>9290023</v>
      </c>
      <c r="AC10" s="38">
        <v>4446513</v>
      </c>
      <c r="AD10" s="38">
        <v>4843510</v>
      </c>
      <c r="AF10" s="159">
        <v>9203595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1144499</v>
      </c>
      <c r="E11" s="8"/>
      <c r="F11" s="8">
        <f aca="true" t="shared" si="7" ref="F11:F37">D11+E11</f>
        <v>1144499</v>
      </c>
      <c r="G11" s="207">
        <f t="shared" si="1"/>
        <v>3967502</v>
      </c>
      <c r="H11" s="30">
        <v>3967502</v>
      </c>
      <c r="I11" s="84">
        <f>J11</f>
        <v>2329915</v>
      </c>
      <c r="J11" s="30">
        <v>2329915</v>
      </c>
      <c r="K11" s="84">
        <f aca="true" t="shared" si="8" ref="K11:K38">L11+M11</f>
        <v>3507159</v>
      </c>
      <c r="L11" s="8"/>
      <c r="M11" s="30">
        <v>3507159</v>
      </c>
      <c r="N11" s="8">
        <f t="shared" si="2"/>
        <v>394272</v>
      </c>
      <c r="O11" s="30">
        <v>394272</v>
      </c>
      <c r="Q11" s="70"/>
      <c r="R11" s="70"/>
      <c r="S11" s="93">
        <f>T11+U11</f>
        <v>2952654</v>
      </c>
      <c r="T11" s="30">
        <v>2952654</v>
      </c>
      <c r="U11" s="70"/>
      <c r="V11" s="8"/>
      <c r="W11" s="8"/>
      <c r="X11" s="8"/>
      <c r="Y11" s="35">
        <f t="shared" si="4"/>
        <v>13151502</v>
      </c>
      <c r="Z11" s="36">
        <f t="shared" si="0"/>
        <v>14296001</v>
      </c>
      <c r="AA11" s="142">
        <f>(D11)/Z11*100</f>
        <v>8.005728315212066</v>
      </c>
      <c r="AB11" s="46">
        <f t="shared" si="5"/>
        <v>1144499</v>
      </c>
      <c r="AC11" s="38">
        <v>824838</v>
      </c>
      <c r="AD11" s="38">
        <v>319661</v>
      </c>
      <c r="AF11" s="159">
        <v>1142493</v>
      </c>
      <c r="AG11" s="2">
        <v>1009899</v>
      </c>
      <c r="AI11" s="2">
        <v>1880216</v>
      </c>
      <c r="AJ11" s="23">
        <f t="shared" si="6"/>
        <v>-1072438</v>
      </c>
    </row>
    <row r="12" spans="1:36" ht="15">
      <c r="A12" s="5">
        <v>4</v>
      </c>
      <c r="B12" s="6" t="s">
        <v>24</v>
      </c>
      <c r="C12" s="85">
        <v>4</v>
      </c>
      <c r="D12" s="70">
        <f>AB12+AB18</f>
        <v>5690559</v>
      </c>
      <c r="E12" s="8"/>
      <c r="F12" s="8">
        <f t="shared" si="7"/>
        <v>5690559</v>
      </c>
      <c r="G12" s="207">
        <f t="shared" si="1"/>
        <v>19372211</v>
      </c>
      <c r="H12" s="30">
        <v>19372211</v>
      </c>
      <c r="I12" s="84">
        <f aca="true" t="shared" si="9" ref="I12:I37">J12</f>
        <v>6769349</v>
      </c>
      <c r="J12" s="30">
        <v>6769349</v>
      </c>
      <c r="K12" s="8">
        <f t="shared" si="8"/>
        <v>4659654</v>
      </c>
      <c r="L12" s="8"/>
      <c r="M12" s="30">
        <v>4659654</v>
      </c>
      <c r="N12" s="8">
        <f t="shared" si="2"/>
        <v>6040383</v>
      </c>
      <c r="O12" s="30">
        <v>6040383</v>
      </c>
      <c r="P12" s="70"/>
      <c r="Q12" s="70"/>
      <c r="R12" s="70"/>
      <c r="S12" s="93">
        <f>T12+U12</f>
        <v>5891232</v>
      </c>
      <c r="T12" s="30">
        <v>5891232</v>
      </c>
      <c r="U12" s="70"/>
      <c r="V12" s="8">
        <v>4349864</v>
      </c>
      <c r="W12" s="8">
        <v>18596</v>
      </c>
      <c r="X12" s="8"/>
      <c r="Y12" s="35">
        <f t="shared" si="4"/>
        <v>47101289</v>
      </c>
      <c r="Z12" s="36">
        <f t="shared" si="0"/>
        <v>52791848</v>
      </c>
      <c r="AA12" s="142">
        <f>(D12)/Z12*100</f>
        <v>10.779238112672244</v>
      </c>
      <c r="AB12" s="46">
        <f t="shared" si="5"/>
        <v>4108902</v>
      </c>
      <c r="AC12" s="38">
        <v>2753474</v>
      </c>
      <c r="AD12" s="38">
        <v>1355428</v>
      </c>
      <c r="AF12" s="159">
        <v>4133622</v>
      </c>
      <c r="AG12" s="2">
        <v>3092531</v>
      </c>
      <c r="AI12" s="2">
        <v>7175844</v>
      </c>
      <c r="AJ12" s="23">
        <f t="shared" si="6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0"/>
      <c r="P13" s="70"/>
      <c r="Q13" s="70"/>
      <c r="R13" s="70"/>
      <c r="S13" s="70">
        <f t="shared" si="3"/>
        <v>0</v>
      </c>
      <c r="T13" s="70">
        <v>0</v>
      </c>
      <c r="U13" s="70"/>
      <c r="V13" s="8"/>
      <c r="W13" s="8"/>
      <c r="X13" s="8"/>
      <c r="Y13" s="35">
        <f t="shared" si="4"/>
        <v>0</v>
      </c>
      <c r="Z13" s="36">
        <f t="shared" si="0"/>
        <v>0</v>
      </c>
      <c r="AA13" s="142"/>
      <c r="AB13" s="46">
        <f t="shared" si="5"/>
        <v>1599734</v>
      </c>
      <c r="AC13" s="38">
        <v>1061819</v>
      </c>
      <c r="AD13" s="38">
        <v>537915</v>
      </c>
      <c r="AF13" s="100">
        <v>1578863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4179707</v>
      </c>
      <c r="E14" s="8"/>
      <c r="F14" s="8">
        <f t="shared" si="7"/>
        <v>4179707</v>
      </c>
      <c r="G14" s="207">
        <f t="shared" si="1"/>
        <v>7110570</v>
      </c>
      <c r="H14" s="30">
        <v>7110570</v>
      </c>
      <c r="I14" s="84">
        <f t="shared" si="9"/>
        <v>16061726</v>
      </c>
      <c r="J14" s="30">
        <v>16061726</v>
      </c>
      <c r="K14" s="8">
        <f t="shared" si="8"/>
        <v>185773</v>
      </c>
      <c r="L14" s="30">
        <v>185773</v>
      </c>
      <c r="M14" s="8"/>
      <c r="N14" s="84">
        <f t="shared" si="2"/>
        <v>8510202</v>
      </c>
      <c r="O14" s="30">
        <v>8510202</v>
      </c>
      <c r="P14" s="70"/>
      <c r="Q14" s="70"/>
      <c r="R14" s="70"/>
      <c r="S14" s="70">
        <f t="shared" si="3"/>
        <v>0</v>
      </c>
      <c r="T14" s="70">
        <v>0</v>
      </c>
      <c r="U14" s="70"/>
      <c r="V14" s="84">
        <v>4947807</v>
      </c>
      <c r="W14" s="8">
        <v>553599</v>
      </c>
      <c r="X14" s="8"/>
      <c r="Y14" s="35">
        <f t="shared" si="4"/>
        <v>37369677</v>
      </c>
      <c r="Z14" s="36">
        <f t="shared" si="0"/>
        <v>41549384</v>
      </c>
      <c r="AA14" s="142">
        <f>(D14)/Z14*100</f>
        <v>10.059612436131424</v>
      </c>
      <c r="AB14" s="46">
        <f t="shared" si="5"/>
        <v>4179707</v>
      </c>
      <c r="AC14" s="38">
        <v>2716816</v>
      </c>
      <c r="AD14" s="38">
        <v>1462891</v>
      </c>
      <c r="AF14" s="159">
        <v>4155125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3089520</v>
      </c>
      <c r="E15" s="8"/>
      <c r="F15" s="8">
        <f t="shared" si="7"/>
        <v>3089520</v>
      </c>
      <c r="G15" s="10">
        <f t="shared" si="1"/>
        <v>2333743</v>
      </c>
      <c r="H15" s="30">
        <v>2333743</v>
      </c>
      <c r="I15" s="84">
        <f t="shared" si="9"/>
        <v>4633056</v>
      </c>
      <c r="J15" s="30">
        <v>4633056</v>
      </c>
      <c r="K15" s="8">
        <f t="shared" si="8"/>
        <v>36092</v>
      </c>
      <c r="L15" s="30">
        <v>36092</v>
      </c>
      <c r="M15" s="8"/>
      <c r="N15" s="84">
        <f t="shared" si="2"/>
        <v>3782688</v>
      </c>
      <c r="O15" s="70"/>
      <c r="P15" s="30">
        <v>3782688</v>
      </c>
      <c r="Q15" s="70"/>
      <c r="R15" s="70"/>
      <c r="S15" s="70">
        <f t="shared" si="3"/>
        <v>0</v>
      </c>
      <c r="T15" s="70">
        <v>0</v>
      </c>
      <c r="U15" s="70"/>
      <c r="V15" s="8"/>
      <c r="W15" s="8">
        <v>734371</v>
      </c>
      <c r="X15" s="8"/>
      <c r="Y15" s="35">
        <f t="shared" si="4"/>
        <v>11519950</v>
      </c>
      <c r="Z15" s="36">
        <f t="shared" si="0"/>
        <v>14609470</v>
      </c>
      <c r="AA15" s="142">
        <f>(D15)/Z15*100</f>
        <v>21.147379063032403</v>
      </c>
      <c r="AB15" s="46">
        <f t="shared" si="5"/>
        <v>3089520</v>
      </c>
      <c r="AC15" s="38">
        <v>1394868</v>
      </c>
      <c r="AD15" s="38">
        <v>1694652</v>
      </c>
      <c r="AF15" s="159">
        <v>3052369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5">
        <v>2</v>
      </c>
      <c r="D16" s="70">
        <f>AB16</f>
        <v>1576204</v>
      </c>
      <c r="E16" s="8"/>
      <c r="F16" s="8">
        <f t="shared" si="7"/>
        <v>1576204</v>
      </c>
      <c r="G16" s="207">
        <f t="shared" si="1"/>
        <v>1978395</v>
      </c>
      <c r="H16" s="30">
        <v>1978395</v>
      </c>
      <c r="I16" s="8">
        <f t="shared" si="9"/>
        <v>497021</v>
      </c>
      <c r="J16" s="30">
        <v>497021</v>
      </c>
      <c r="K16" s="8">
        <f t="shared" si="8"/>
        <v>714843</v>
      </c>
      <c r="L16" s="8"/>
      <c r="M16" s="30">
        <v>714843</v>
      </c>
      <c r="N16" s="8">
        <f t="shared" si="2"/>
        <v>472124</v>
      </c>
      <c r="O16" s="70"/>
      <c r="P16" s="70"/>
      <c r="Q16" s="30">
        <v>472124</v>
      </c>
      <c r="R16" s="70"/>
      <c r="S16" s="70">
        <f>T16+U16</f>
        <v>1541285</v>
      </c>
      <c r="T16" s="30">
        <v>1541285</v>
      </c>
      <c r="U16" s="70"/>
      <c r="V16" s="8"/>
      <c r="W16" s="8"/>
      <c r="X16" s="8"/>
      <c r="Y16" s="35">
        <f t="shared" si="4"/>
        <v>5203668</v>
      </c>
      <c r="Z16" s="36">
        <f t="shared" si="0"/>
        <v>6779872</v>
      </c>
      <c r="AA16" s="142">
        <f>(D16)/Z16*100</f>
        <v>23.248285513354823</v>
      </c>
      <c r="AB16" s="46">
        <f t="shared" si="5"/>
        <v>1576204</v>
      </c>
      <c r="AC16" s="38">
        <v>615539</v>
      </c>
      <c r="AD16" s="38">
        <v>960665</v>
      </c>
      <c r="AF16" s="159">
        <v>1556627</v>
      </c>
      <c r="AG16" s="23">
        <v>1156410</v>
      </c>
      <c r="AH16" s="23"/>
      <c r="AI16" s="2">
        <v>1220916</v>
      </c>
      <c r="AJ16" s="23">
        <f t="shared" si="6"/>
        <v>-320369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1089835</v>
      </c>
      <c r="E17" s="8"/>
      <c r="F17" s="8">
        <f t="shared" si="7"/>
        <v>1089835</v>
      </c>
      <c r="G17" s="207">
        <f t="shared" si="1"/>
        <v>2382558</v>
      </c>
      <c r="H17" s="30">
        <v>2382558</v>
      </c>
      <c r="I17" s="8">
        <f t="shared" si="9"/>
        <v>625770</v>
      </c>
      <c r="J17" s="30">
        <v>625770</v>
      </c>
      <c r="K17" s="84">
        <f t="shared" si="8"/>
        <v>1827610</v>
      </c>
      <c r="L17" s="8"/>
      <c r="M17" s="30">
        <v>1827610</v>
      </c>
      <c r="N17" s="8">
        <f t="shared" si="2"/>
        <v>224253</v>
      </c>
      <c r="O17" s="30">
        <v>224253</v>
      </c>
      <c r="P17" s="70"/>
      <c r="Q17" s="70"/>
      <c r="R17" s="70"/>
      <c r="S17" s="70">
        <f t="shared" si="3"/>
        <v>0</v>
      </c>
      <c r="T17" s="70">
        <v>0</v>
      </c>
      <c r="U17" s="70"/>
      <c r="V17" s="8"/>
      <c r="W17" s="8"/>
      <c r="X17" s="8"/>
      <c r="Y17" s="35">
        <f t="shared" si="4"/>
        <v>5060191</v>
      </c>
      <c r="Z17" s="36">
        <f t="shared" si="0"/>
        <v>6150026</v>
      </c>
      <c r="AA17" s="142">
        <f>(D17)/Z17*100</f>
        <v>17.72081939165786</v>
      </c>
      <c r="AB17" s="46">
        <f t="shared" si="5"/>
        <v>1089835</v>
      </c>
      <c r="AC17" s="38">
        <v>984674</v>
      </c>
      <c r="AD17" s="38">
        <v>105161</v>
      </c>
      <c r="AF17" s="159">
        <v>1091808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0"/>
      <c r="P18" s="70"/>
      <c r="Q18" s="70"/>
      <c r="R18" s="70"/>
      <c r="S18" s="70">
        <f t="shared" si="3"/>
        <v>0</v>
      </c>
      <c r="T18" s="70">
        <v>0</v>
      </c>
      <c r="U18" s="70"/>
      <c r="V18" s="8"/>
      <c r="W18" s="8"/>
      <c r="X18" s="8"/>
      <c r="Y18" s="35">
        <f t="shared" si="4"/>
        <v>0</v>
      </c>
      <c r="Z18" s="36">
        <f t="shared" si="0"/>
        <v>0</v>
      </c>
      <c r="AA18" s="142"/>
      <c r="AB18" s="46">
        <f t="shared" si="5"/>
        <v>1581657</v>
      </c>
      <c r="AC18" s="38">
        <v>1135379</v>
      </c>
      <c r="AD18" s="38">
        <v>446278</v>
      </c>
      <c r="AF18" s="100">
        <v>1586394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6951224</v>
      </c>
      <c r="E19" s="8"/>
      <c r="F19" s="8">
        <f t="shared" si="7"/>
        <v>6951224</v>
      </c>
      <c r="G19" s="207">
        <f t="shared" si="1"/>
        <v>16230170</v>
      </c>
      <c r="H19" s="30">
        <v>16230170</v>
      </c>
      <c r="I19" s="8">
        <f t="shared" si="9"/>
        <v>6838275</v>
      </c>
      <c r="J19" s="30">
        <v>6838275</v>
      </c>
      <c r="K19" s="8">
        <f t="shared" si="8"/>
        <v>1683304</v>
      </c>
      <c r="L19" s="30">
        <v>1683304</v>
      </c>
      <c r="M19" s="8"/>
      <c r="N19" s="8">
        <f>R19</f>
        <v>6245950</v>
      </c>
      <c r="O19" s="70"/>
      <c r="P19" s="70"/>
      <c r="Q19" s="70"/>
      <c r="R19" s="30">
        <v>6245950</v>
      </c>
      <c r="S19" s="70">
        <f t="shared" si="3"/>
        <v>0</v>
      </c>
      <c r="T19" s="70">
        <v>0</v>
      </c>
      <c r="U19" s="70"/>
      <c r="V19" s="8"/>
      <c r="W19" s="8"/>
      <c r="X19" s="8"/>
      <c r="Y19" s="35">
        <f t="shared" si="4"/>
        <v>30997699</v>
      </c>
      <c r="Z19" s="36">
        <f t="shared" si="0"/>
        <v>37948923</v>
      </c>
      <c r="AA19" s="142">
        <f>(D19)/Z19*100</f>
        <v>18.317315619207427</v>
      </c>
      <c r="AB19" s="46">
        <f t="shared" si="5"/>
        <v>6951224</v>
      </c>
      <c r="AC19" s="38">
        <v>5501343</v>
      </c>
      <c r="AD19" s="38">
        <v>1449881</v>
      </c>
      <c r="AF19" s="159">
        <v>6888979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7435687</v>
      </c>
      <c r="E20" s="8"/>
      <c r="F20" s="8">
        <f t="shared" si="7"/>
        <v>7435687</v>
      </c>
      <c r="G20" s="10">
        <f>H20</f>
        <v>3502337</v>
      </c>
      <c r="H20" s="30">
        <v>3502337</v>
      </c>
      <c r="I20" s="8">
        <f t="shared" si="9"/>
        <v>6202153</v>
      </c>
      <c r="J20" s="30">
        <v>6202153</v>
      </c>
      <c r="K20" s="8">
        <f t="shared" si="8"/>
        <v>104883</v>
      </c>
      <c r="L20" s="8"/>
      <c r="M20" s="30">
        <v>104883</v>
      </c>
      <c r="N20" s="84">
        <f t="shared" si="2"/>
        <v>7921428</v>
      </c>
      <c r="O20" s="70"/>
      <c r="P20" s="30">
        <v>7921428</v>
      </c>
      <c r="Q20" s="70"/>
      <c r="R20" s="70"/>
      <c r="S20" s="70">
        <f t="shared" si="3"/>
        <v>0</v>
      </c>
      <c r="T20" s="70">
        <v>0</v>
      </c>
      <c r="U20" s="70"/>
      <c r="V20" s="8"/>
      <c r="W20" s="8"/>
      <c r="X20" s="8"/>
      <c r="Y20" s="35">
        <f t="shared" si="4"/>
        <v>17730801</v>
      </c>
      <c r="Z20" s="36">
        <f t="shared" si="0"/>
        <v>25166488</v>
      </c>
      <c r="AA20" s="142">
        <f>(D20)/Z20*100</f>
        <v>29.545985915873523</v>
      </c>
      <c r="AB20" s="46">
        <f t="shared" si="5"/>
        <v>7435687</v>
      </c>
      <c r="AC20" s="38">
        <v>4417857</v>
      </c>
      <c r="AD20" s="38">
        <v>3017830</v>
      </c>
      <c r="AF20" s="159">
        <v>7413156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5030875</v>
      </c>
      <c r="E21" s="8"/>
      <c r="F21" s="8">
        <f t="shared" si="7"/>
        <v>5030875</v>
      </c>
      <c r="G21" s="207">
        <f t="shared" si="1"/>
        <v>10119919</v>
      </c>
      <c r="H21" s="30">
        <v>10119919</v>
      </c>
      <c r="I21" s="8">
        <f t="shared" si="9"/>
        <v>4308262</v>
      </c>
      <c r="J21" s="30">
        <v>4308262</v>
      </c>
      <c r="K21" s="8">
        <f t="shared" si="8"/>
        <v>97694</v>
      </c>
      <c r="L21" s="30">
        <v>97694</v>
      </c>
      <c r="M21" s="8"/>
      <c r="N21" s="84">
        <f t="shared" si="2"/>
        <v>15558619</v>
      </c>
      <c r="O21" s="30">
        <v>15558619</v>
      </c>
      <c r="P21" s="70"/>
      <c r="Q21" s="70"/>
      <c r="R21" s="70"/>
      <c r="S21" s="93">
        <f>T21+U21</f>
        <v>8313704</v>
      </c>
      <c r="T21" s="30">
        <v>8313704</v>
      </c>
      <c r="U21" s="70"/>
      <c r="V21" s="8"/>
      <c r="W21" s="8">
        <v>684665</v>
      </c>
      <c r="X21" s="8"/>
      <c r="Y21" s="35">
        <f t="shared" si="4"/>
        <v>39082863</v>
      </c>
      <c r="Z21" s="36">
        <f t="shared" si="0"/>
        <v>44113738</v>
      </c>
      <c r="AA21" s="142">
        <f>(D21)/Z21*100</f>
        <v>11.404327150875313</v>
      </c>
      <c r="AB21" s="46">
        <f t="shared" si="5"/>
        <v>3431141</v>
      </c>
      <c r="AC21" s="38">
        <v>2239107</v>
      </c>
      <c r="AD21" s="38">
        <v>1192034</v>
      </c>
      <c r="AF21" s="159">
        <v>3396917</v>
      </c>
      <c r="AG21" s="2">
        <v>2094151</v>
      </c>
      <c r="AI21" s="2">
        <v>9032056</v>
      </c>
      <c r="AJ21" s="23">
        <f t="shared" si="6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6723903</v>
      </c>
      <c r="E22" s="8"/>
      <c r="F22" s="8">
        <f t="shared" si="7"/>
        <v>6723903</v>
      </c>
      <c r="G22" s="207">
        <f t="shared" si="1"/>
        <v>10092142</v>
      </c>
      <c r="H22" s="30">
        <v>10092142</v>
      </c>
      <c r="I22" s="84">
        <f t="shared" si="9"/>
        <v>13447847</v>
      </c>
      <c r="J22" s="30">
        <v>13447847</v>
      </c>
      <c r="K22" s="8">
        <f t="shared" si="8"/>
        <v>1189688</v>
      </c>
      <c r="L22" s="30">
        <v>1189688</v>
      </c>
      <c r="M22" s="8"/>
      <c r="N22" s="84">
        <f t="shared" si="2"/>
        <v>16386735</v>
      </c>
      <c r="O22" s="30">
        <v>16386735</v>
      </c>
      <c r="P22" s="70"/>
      <c r="Q22" s="70"/>
      <c r="R22" s="70"/>
      <c r="S22" s="70">
        <f t="shared" si="3"/>
        <v>0</v>
      </c>
      <c r="T22" s="70">
        <v>0</v>
      </c>
      <c r="U22" s="70"/>
      <c r="V22" s="8">
        <v>5582082</v>
      </c>
      <c r="W22" s="8"/>
      <c r="X22" s="8"/>
      <c r="Y22" s="35">
        <f t="shared" si="4"/>
        <v>46698494</v>
      </c>
      <c r="Z22" s="36">
        <f t="shared" si="0"/>
        <v>53422397</v>
      </c>
      <c r="AA22" s="142">
        <f>(D22)/Z22*100</f>
        <v>12.586299712459551</v>
      </c>
      <c r="AB22" s="46">
        <f t="shared" si="5"/>
        <v>6723903</v>
      </c>
      <c r="AC22" s="38">
        <v>4268399</v>
      </c>
      <c r="AD22" s="38">
        <v>2455504</v>
      </c>
      <c r="AF22" s="159">
        <v>6647500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1609217</v>
      </c>
      <c r="E23" s="8"/>
      <c r="F23" s="8">
        <f t="shared" si="7"/>
        <v>1609217</v>
      </c>
      <c r="G23" s="207">
        <f t="shared" si="1"/>
        <v>2730003</v>
      </c>
      <c r="H23" s="30">
        <v>2730003</v>
      </c>
      <c r="I23" s="8">
        <f t="shared" si="9"/>
        <v>997941</v>
      </c>
      <c r="J23" s="30">
        <v>997941</v>
      </c>
      <c r="K23" s="84">
        <f t="shared" si="8"/>
        <v>2324164</v>
      </c>
      <c r="L23" s="8"/>
      <c r="M23" s="30">
        <v>2324164</v>
      </c>
      <c r="N23" s="8">
        <f t="shared" si="2"/>
        <v>294709</v>
      </c>
      <c r="O23" s="30">
        <v>294709</v>
      </c>
      <c r="P23" s="70"/>
      <c r="Q23" s="70"/>
      <c r="R23" s="70"/>
      <c r="S23" s="70">
        <f>T23</f>
        <v>857127</v>
      </c>
      <c r="T23" s="30">
        <v>857127</v>
      </c>
      <c r="U23" s="70"/>
      <c r="V23" s="8"/>
      <c r="W23" s="8"/>
      <c r="X23" s="8"/>
      <c r="Y23" s="35">
        <f t="shared" si="4"/>
        <v>7203944</v>
      </c>
      <c r="Z23" s="36">
        <f t="shared" si="0"/>
        <v>8813161</v>
      </c>
      <c r="AA23" s="142">
        <f>(D23)/Z23*100</f>
        <v>18.2592488665531</v>
      </c>
      <c r="AB23" s="46">
        <f t="shared" si="5"/>
        <v>882540</v>
      </c>
      <c r="AC23" s="38">
        <v>620385</v>
      </c>
      <c r="AD23" s="38">
        <v>262155</v>
      </c>
      <c r="AF23" s="159">
        <v>861461</v>
      </c>
      <c r="AG23" s="23">
        <v>383286</v>
      </c>
      <c r="AI23" s="2">
        <v>528185</v>
      </c>
      <c r="AJ23" s="23">
        <f t="shared" si="6"/>
        <v>-328942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0"/>
      <c r="P24" s="70"/>
      <c r="Q24" s="70"/>
      <c r="R24" s="70"/>
      <c r="S24" s="70">
        <f t="shared" si="3"/>
        <v>0</v>
      </c>
      <c r="T24" s="70">
        <v>0</v>
      </c>
      <c r="U24" s="70"/>
      <c r="V24" s="8"/>
      <c r="W24" s="8"/>
      <c r="X24" s="8"/>
      <c r="Y24" s="35">
        <f t="shared" si="4"/>
        <v>0</v>
      </c>
      <c r="Z24" s="36">
        <f t="shared" si="0"/>
        <v>0</v>
      </c>
      <c r="AA24" s="142"/>
      <c r="AB24" s="46">
        <f t="shared" si="5"/>
        <v>726677</v>
      </c>
      <c r="AC24" s="38">
        <v>433510</v>
      </c>
      <c r="AD24" s="38">
        <v>293167</v>
      </c>
      <c r="AF24" s="100">
        <v>732549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4443021</v>
      </c>
      <c r="E25" s="8"/>
      <c r="F25" s="8">
        <f t="shared" si="7"/>
        <v>4443021</v>
      </c>
      <c r="G25" s="207">
        <f t="shared" si="1"/>
        <v>6929384</v>
      </c>
      <c r="H25" s="30">
        <v>6929384</v>
      </c>
      <c r="I25" s="8">
        <f t="shared" si="9"/>
        <v>3048204</v>
      </c>
      <c r="J25" s="30">
        <v>3048204</v>
      </c>
      <c r="K25" s="8">
        <f t="shared" si="8"/>
        <v>2930796</v>
      </c>
      <c r="L25" s="8"/>
      <c r="M25" s="30">
        <v>2930796</v>
      </c>
      <c r="N25" s="8">
        <f t="shared" si="2"/>
        <v>1096141</v>
      </c>
      <c r="O25" s="30">
        <v>1096141</v>
      </c>
      <c r="P25" s="70"/>
      <c r="Q25" s="70"/>
      <c r="R25" s="70"/>
      <c r="S25" s="70">
        <f>T25+U25</f>
        <v>3996926</v>
      </c>
      <c r="T25" s="30">
        <v>3996926</v>
      </c>
      <c r="U25" s="70"/>
      <c r="V25" s="8"/>
      <c r="W25" s="8"/>
      <c r="X25" s="8"/>
      <c r="Y25" s="35">
        <f t="shared" si="4"/>
        <v>18001451</v>
      </c>
      <c r="Z25" s="36">
        <f t="shared" si="0"/>
        <v>22444472</v>
      </c>
      <c r="AA25" s="142">
        <f>(D25)/Z25*100</f>
        <v>19.79561381528601</v>
      </c>
      <c r="AB25" s="46">
        <f t="shared" si="5"/>
        <v>4443021</v>
      </c>
      <c r="AC25" s="38">
        <v>2640320</v>
      </c>
      <c r="AD25" s="38">
        <v>1802701</v>
      </c>
      <c r="AF25" s="159">
        <v>4430629</v>
      </c>
      <c r="AG25" s="2">
        <v>2083541</v>
      </c>
      <c r="AI25" s="2">
        <v>2854476</v>
      </c>
      <c r="AJ25" s="23">
        <f t="shared" si="6"/>
        <v>-1142450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4391890</v>
      </c>
      <c r="E26" s="8"/>
      <c r="F26" s="8">
        <f t="shared" si="7"/>
        <v>4391890</v>
      </c>
      <c r="G26" s="207">
        <f t="shared" si="1"/>
        <v>7023854</v>
      </c>
      <c r="H26" s="30">
        <v>7023854</v>
      </c>
      <c r="I26" s="84">
        <f t="shared" si="9"/>
        <v>4448199</v>
      </c>
      <c r="J26" s="30">
        <v>4448199</v>
      </c>
      <c r="K26" s="8">
        <f t="shared" si="8"/>
        <v>939369</v>
      </c>
      <c r="L26" s="30">
        <v>939369</v>
      </c>
      <c r="M26" s="8"/>
      <c r="N26" s="84">
        <f>R26</f>
        <v>5791458</v>
      </c>
      <c r="O26" s="70"/>
      <c r="P26" s="70"/>
      <c r="Q26" s="70"/>
      <c r="R26" s="30">
        <v>5791458</v>
      </c>
      <c r="S26" s="70">
        <f t="shared" si="3"/>
        <v>0</v>
      </c>
      <c r="T26" s="70">
        <v>0</v>
      </c>
      <c r="U26" s="70"/>
      <c r="V26" s="8"/>
      <c r="W26" s="8"/>
      <c r="X26" s="8"/>
      <c r="Y26" s="35">
        <f t="shared" si="4"/>
        <v>18202880</v>
      </c>
      <c r="Z26" s="36">
        <f t="shared" si="0"/>
        <v>22594770</v>
      </c>
      <c r="AA26" s="142">
        <f>(D26)/Z26*100</f>
        <v>19.437639772389804</v>
      </c>
      <c r="AB26" s="46">
        <f t="shared" si="5"/>
        <v>4391890</v>
      </c>
      <c r="AC26" s="38">
        <v>2669519</v>
      </c>
      <c r="AD26" s="38">
        <v>1722371</v>
      </c>
      <c r="AF26" s="159">
        <v>4354007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5788422</v>
      </c>
      <c r="E27" s="8"/>
      <c r="F27" s="8">
        <f t="shared" si="7"/>
        <v>5788422</v>
      </c>
      <c r="G27" s="207">
        <f t="shared" si="1"/>
        <v>14739111</v>
      </c>
      <c r="H27" s="30">
        <v>14739111</v>
      </c>
      <c r="I27" s="84">
        <f t="shared" si="9"/>
        <v>8962083</v>
      </c>
      <c r="J27" s="30">
        <v>8962083</v>
      </c>
      <c r="K27" s="8">
        <f t="shared" si="8"/>
        <v>2965515</v>
      </c>
      <c r="L27" s="30">
        <v>2965515</v>
      </c>
      <c r="M27" s="8"/>
      <c r="N27" s="8">
        <f t="shared" si="2"/>
        <v>5144489</v>
      </c>
      <c r="O27" s="70"/>
      <c r="P27" s="70"/>
      <c r="Q27" s="30">
        <v>5144489</v>
      </c>
      <c r="R27" s="70"/>
      <c r="S27" s="70">
        <f t="shared" si="3"/>
        <v>0</v>
      </c>
      <c r="T27" s="70">
        <v>0</v>
      </c>
      <c r="U27" s="70"/>
      <c r="V27" s="8"/>
      <c r="W27" s="8"/>
      <c r="X27" s="8"/>
      <c r="Y27" s="35">
        <f t="shared" si="4"/>
        <v>31811198</v>
      </c>
      <c r="Z27" s="36">
        <f t="shared" si="0"/>
        <v>37599620</v>
      </c>
      <c r="AA27" s="142">
        <f>(D27)/Z27*100</f>
        <v>15.394894948406392</v>
      </c>
      <c r="AB27" s="46">
        <f t="shared" si="5"/>
        <v>5788422</v>
      </c>
      <c r="AC27" s="38">
        <v>3981337</v>
      </c>
      <c r="AD27" s="38">
        <v>1807085</v>
      </c>
      <c r="AF27" s="159">
        <v>5760517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7927731</v>
      </c>
      <c r="E28" s="8"/>
      <c r="F28" s="8">
        <f t="shared" si="7"/>
        <v>7927731</v>
      </c>
      <c r="G28" s="207">
        <f t="shared" si="1"/>
        <v>9813144</v>
      </c>
      <c r="H28" s="30">
        <v>9813144</v>
      </c>
      <c r="I28" s="84">
        <f t="shared" si="9"/>
        <v>10107119</v>
      </c>
      <c r="J28" s="30">
        <v>10107119</v>
      </c>
      <c r="K28" s="84">
        <f t="shared" si="8"/>
        <v>17341782</v>
      </c>
      <c r="L28" s="30">
        <v>17341782</v>
      </c>
      <c r="M28" s="8"/>
      <c r="N28" s="8">
        <f t="shared" si="2"/>
        <v>2308196</v>
      </c>
      <c r="O28" s="30">
        <v>2308196</v>
      </c>
      <c r="P28" s="70"/>
      <c r="Q28" s="70"/>
      <c r="R28" s="70"/>
      <c r="S28" s="70">
        <f t="shared" si="3"/>
        <v>0</v>
      </c>
      <c r="T28" s="70">
        <v>0</v>
      </c>
      <c r="U28" s="70"/>
      <c r="V28" s="8"/>
      <c r="W28" s="8"/>
      <c r="X28" s="8"/>
      <c r="Y28" s="35">
        <f t="shared" si="4"/>
        <v>39570241</v>
      </c>
      <c r="Z28" s="36">
        <f t="shared" si="0"/>
        <v>47497972</v>
      </c>
      <c r="AA28" s="142">
        <f>(D28)/Z28*100</f>
        <v>16.69067260387454</v>
      </c>
      <c r="AB28" s="46">
        <f t="shared" si="5"/>
        <v>7927731</v>
      </c>
      <c r="AC28" s="38">
        <v>7054234</v>
      </c>
      <c r="AD28" s="38">
        <v>873497</v>
      </c>
      <c r="AF28" s="159">
        <v>7849734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0"/>
      <c r="P29" s="70"/>
      <c r="Q29" s="70"/>
      <c r="R29" s="70"/>
      <c r="S29" s="70">
        <f t="shared" si="3"/>
        <v>0</v>
      </c>
      <c r="T29" s="70">
        <v>0</v>
      </c>
      <c r="U29" s="70"/>
      <c r="V29" s="8"/>
      <c r="W29" s="8"/>
      <c r="X29" s="8"/>
      <c r="Y29" s="35">
        <f t="shared" si="4"/>
        <v>0</v>
      </c>
      <c r="Z29" s="36">
        <f t="shared" si="0"/>
        <v>0</v>
      </c>
      <c r="AA29" s="142"/>
      <c r="AB29" s="46">
        <f t="shared" si="5"/>
        <v>1326391</v>
      </c>
      <c r="AC29" s="38">
        <v>734825</v>
      </c>
      <c r="AD29" s="38">
        <v>591566</v>
      </c>
      <c r="AF29" s="100">
        <v>1344799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10014585</v>
      </c>
      <c r="E30" s="8"/>
      <c r="F30" s="8">
        <f t="shared" si="7"/>
        <v>10014585</v>
      </c>
      <c r="G30" s="207">
        <f>H30</f>
        <v>15238226</v>
      </c>
      <c r="H30" s="30">
        <v>15238226</v>
      </c>
      <c r="I30" s="84">
        <f t="shared" si="9"/>
        <v>14874457</v>
      </c>
      <c r="J30" s="30">
        <v>14874457</v>
      </c>
      <c r="K30" s="8">
        <f t="shared" si="8"/>
        <v>3998723</v>
      </c>
      <c r="L30" s="30">
        <v>3998723</v>
      </c>
      <c r="M30" s="8"/>
      <c r="N30" s="8">
        <f t="shared" si="2"/>
        <v>7411646</v>
      </c>
      <c r="O30" s="70"/>
      <c r="P30" s="70"/>
      <c r="Q30" s="30">
        <v>7411646</v>
      </c>
      <c r="R30" s="70"/>
      <c r="S30" s="70">
        <f t="shared" si="3"/>
        <v>0</v>
      </c>
      <c r="T30" s="70">
        <v>0</v>
      </c>
      <c r="U30" s="70"/>
      <c r="V30" s="8">
        <v>7545557</v>
      </c>
      <c r="W30" s="8">
        <v>14622</v>
      </c>
      <c r="X30" s="8"/>
      <c r="Y30" s="35">
        <f t="shared" si="4"/>
        <v>49083231</v>
      </c>
      <c r="Z30" s="36">
        <f t="shared" si="0"/>
        <v>59097816</v>
      </c>
      <c r="AA30" s="142">
        <f aca="true" t="shared" si="10" ref="AA30:AA37">(D30)/Z30*100</f>
        <v>16.94577850389598</v>
      </c>
      <c r="AB30" s="46">
        <f t="shared" si="5"/>
        <v>10014585</v>
      </c>
      <c r="AC30" s="38">
        <v>7149541</v>
      </c>
      <c r="AD30" s="38">
        <v>2865044</v>
      </c>
      <c r="AF30" s="159">
        <v>9961964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5">
        <v>4</v>
      </c>
      <c r="D31" s="70">
        <f>AB31+AB29</f>
        <v>4768705</v>
      </c>
      <c r="E31" s="8"/>
      <c r="F31" s="8">
        <f t="shared" si="7"/>
        <v>4768705</v>
      </c>
      <c r="G31" s="207">
        <f t="shared" si="1"/>
        <v>6625510</v>
      </c>
      <c r="H31" s="30">
        <v>6625510</v>
      </c>
      <c r="I31" s="84">
        <f t="shared" si="9"/>
        <v>9486340</v>
      </c>
      <c r="J31" s="30">
        <v>9486340</v>
      </c>
      <c r="K31" s="8">
        <f t="shared" si="8"/>
        <v>559150</v>
      </c>
      <c r="L31" s="30">
        <v>559150</v>
      </c>
      <c r="M31" s="8"/>
      <c r="N31" s="84">
        <f t="shared" si="2"/>
        <v>10792314</v>
      </c>
      <c r="O31" s="70"/>
      <c r="P31" s="30">
        <v>10792314</v>
      </c>
      <c r="Q31" s="70"/>
      <c r="R31" s="70"/>
      <c r="S31" s="70">
        <f>T31+U31</f>
        <v>0</v>
      </c>
      <c r="T31" s="70">
        <v>0</v>
      </c>
      <c r="U31" s="70"/>
      <c r="V31" s="84">
        <v>4953604</v>
      </c>
      <c r="W31" s="8">
        <v>3621</v>
      </c>
      <c r="X31" s="8"/>
      <c r="Y31" s="35">
        <f t="shared" si="4"/>
        <v>32420539</v>
      </c>
      <c r="Z31" s="36">
        <f t="shared" si="0"/>
        <v>37189244</v>
      </c>
      <c r="AA31" s="142">
        <f t="shared" si="10"/>
        <v>12.82280704603729</v>
      </c>
      <c r="AB31" s="46">
        <f t="shared" si="5"/>
        <v>3442314</v>
      </c>
      <c r="AC31" s="38">
        <v>2618430</v>
      </c>
      <c r="AD31" s="38">
        <v>823884</v>
      </c>
      <c r="AF31" s="159">
        <v>3436516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3533718</v>
      </c>
      <c r="E32" s="8"/>
      <c r="F32" s="8">
        <f t="shared" si="7"/>
        <v>3533718</v>
      </c>
      <c r="G32" s="207">
        <f t="shared" si="1"/>
        <v>9272222</v>
      </c>
      <c r="H32" s="30">
        <v>9272222</v>
      </c>
      <c r="I32" s="84">
        <f t="shared" si="9"/>
        <v>11601064</v>
      </c>
      <c r="J32" s="30">
        <v>11601064</v>
      </c>
      <c r="K32" s="8">
        <f t="shared" si="8"/>
        <v>3011255</v>
      </c>
      <c r="L32" s="8"/>
      <c r="M32" s="30">
        <v>3011255</v>
      </c>
      <c r="N32" s="8">
        <f t="shared" si="2"/>
        <v>2660460</v>
      </c>
      <c r="O32" s="30">
        <v>2660460</v>
      </c>
      <c r="P32" s="70"/>
      <c r="Q32" s="70"/>
      <c r="R32" s="70"/>
      <c r="S32" s="93">
        <f>T32+U32</f>
        <v>6997667</v>
      </c>
      <c r="T32" s="30">
        <v>6997667</v>
      </c>
      <c r="U32" s="70"/>
      <c r="V32" s="84"/>
      <c r="W32" s="8"/>
      <c r="X32" s="8"/>
      <c r="Y32" s="35">
        <f t="shared" si="4"/>
        <v>33542668</v>
      </c>
      <c r="Z32" s="36">
        <f t="shared" si="0"/>
        <v>37076386</v>
      </c>
      <c r="AA32" s="142">
        <f t="shared" si="10"/>
        <v>9.53091274861579</v>
      </c>
      <c r="AB32" s="46">
        <f t="shared" si="5"/>
        <v>3328068</v>
      </c>
      <c r="AC32" s="38">
        <v>1653288</v>
      </c>
      <c r="AD32" s="38">
        <v>1674780</v>
      </c>
      <c r="AF32" s="159">
        <v>3343580</v>
      </c>
      <c r="AG32" s="23">
        <v>2055457</v>
      </c>
      <c r="AI32" s="2">
        <v>5199733</v>
      </c>
      <c r="AJ32" s="23">
        <f t="shared" si="6"/>
        <v>-1797934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2271492</v>
      </c>
      <c r="E33" s="8"/>
      <c r="F33" s="8">
        <f t="shared" si="7"/>
        <v>2271492</v>
      </c>
      <c r="G33" s="207">
        <f t="shared" si="1"/>
        <v>3685291</v>
      </c>
      <c r="H33" s="30">
        <v>3685291</v>
      </c>
      <c r="I33" s="84">
        <f t="shared" si="9"/>
        <v>4183689</v>
      </c>
      <c r="J33" s="30">
        <v>4183689</v>
      </c>
      <c r="K33" s="8">
        <f t="shared" si="8"/>
        <v>1876027</v>
      </c>
      <c r="L33" s="30">
        <v>1876027</v>
      </c>
      <c r="M33" s="8"/>
      <c r="N33" s="8">
        <f t="shared" si="2"/>
        <v>1372181</v>
      </c>
      <c r="O33" s="30">
        <v>1372181</v>
      </c>
      <c r="P33" s="70"/>
      <c r="Q33" s="70"/>
      <c r="R33" s="70"/>
      <c r="S33" s="93">
        <f>T33+U33</f>
        <v>4106422</v>
      </c>
      <c r="T33" s="30">
        <v>4106422</v>
      </c>
      <c r="U33" s="70"/>
      <c r="V33" s="8"/>
      <c r="W33" s="8"/>
      <c r="X33" s="8"/>
      <c r="Y33" s="35">
        <f t="shared" si="4"/>
        <v>15223610</v>
      </c>
      <c r="Z33" s="36">
        <f t="shared" si="0"/>
        <v>17495102</v>
      </c>
      <c r="AA33" s="142">
        <f t="shared" si="10"/>
        <v>12.983588206573474</v>
      </c>
      <c r="AB33" s="46">
        <f t="shared" si="5"/>
        <v>2271492</v>
      </c>
      <c r="AC33" s="38">
        <v>2271492</v>
      </c>
      <c r="AD33" s="38">
        <v>0</v>
      </c>
      <c r="AF33" s="159">
        <v>2266809</v>
      </c>
      <c r="AG33" s="23">
        <v>1755860</v>
      </c>
      <c r="AI33" s="2">
        <v>3788404</v>
      </c>
      <c r="AJ33" s="23">
        <f t="shared" si="6"/>
        <v>-318018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1553995</v>
      </c>
      <c r="E34" s="8"/>
      <c r="F34" s="8">
        <f t="shared" si="7"/>
        <v>1553995</v>
      </c>
      <c r="G34" s="207">
        <f t="shared" si="1"/>
        <v>3676648</v>
      </c>
      <c r="H34" s="30">
        <v>3676648</v>
      </c>
      <c r="I34" s="84">
        <f t="shared" si="9"/>
        <v>2118352</v>
      </c>
      <c r="J34" s="30">
        <v>2118352</v>
      </c>
      <c r="K34" s="84">
        <f t="shared" si="8"/>
        <v>3865969</v>
      </c>
      <c r="L34" s="30">
        <v>3865969</v>
      </c>
      <c r="M34" s="8"/>
      <c r="N34" s="8">
        <f t="shared" si="2"/>
        <v>0</v>
      </c>
      <c r="O34" s="70"/>
      <c r="P34" s="70"/>
      <c r="Q34" s="70"/>
      <c r="R34" s="70"/>
      <c r="S34" s="70">
        <f t="shared" si="3"/>
        <v>0</v>
      </c>
      <c r="T34" s="70"/>
      <c r="U34" s="70"/>
      <c r="V34" s="8"/>
      <c r="W34" s="8"/>
      <c r="X34" s="8"/>
      <c r="Y34" s="35">
        <f t="shared" si="4"/>
        <v>9660969</v>
      </c>
      <c r="Z34" s="36">
        <f t="shared" si="0"/>
        <v>11214964</v>
      </c>
      <c r="AA34" s="142">
        <f t="shared" si="10"/>
        <v>13.856442160670332</v>
      </c>
      <c r="AB34" s="46">
        <f t="shared" si="5"/>
        <v>1553995</v>
      </c>
      <c r="AC34" s="38">
        <v>1510540</v>
      </c>
      <c r="AD34" s="38">
        <v>43455</v>
      </c>
      <c r="AF34" s="159">
        <v>1556343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1" ref="D35:Z35">SUM(D9:D34)</f>
        <v>98504812</v>
      </c>
      <c r="E35" s="8">
        <f t="shared" si="11"/>
        <v>0</v>
      </c>
      <c r="F35" s="8">
        <f t="shared" si="11"/>
        <v>98504812</v>
      </c>
      <c r="G35" s="84">
        <f t="shared" si="11"/>
        <v>175074804</v>
      </c>
      <c r="H35" s="8">
        <f>SUM(H9:H34)</f>
        <v>175074804</v>
      </c>
      <c r="I35" s="84">
        <f>SUM(I9:I34)</f>
        <v>137406440</v>
      </c>
      <c r="J35" s="94">
        <f t="shared" si="11"/>
        <v>137406440</v>
      </c>
      <c r="K35" s="8">
        <f t="shared" si="11"/>
        <v>55581641</v>
      </c>
      <c r="L35" s="8">
        <f t="shared" si="11"/>
        <v>36501277</v>
      </c>
      <c r="M35" s="8">
        <f>SUM(M9:M34)</f>
        <v>19080364</v>
      </c>
      <c r="N35" s="84">
        <f t="shared" si="11"/>
        <v>113601528</v>
      </c>
      <c r="O35" s="70">
        <f t="shared" si="11"/>
        <v>66039431</v>
      </c>
      <c r="P35" s="70">
        <f t="shared" si="11"/>
        <v>22496430</v>
      </c>
      <c r="Q35" s="70">
        <f t="shared" si="11"/>
        <v>13028259</v>
      </c>
      <c r="R35" s="70">
        <f>SUM(R9:R34)</f>
        <v>12037408</v>
      </c>
      <c r="S35" s="70">
        <f t="shared" si="11"/>
        <v>34657017</v>
      </c>
      <c r="T35" s="70">
        <f t="shared" si="11"/>
        <v>34657017</v>
      </c>
      <c r="U35" s="70">
        <f>SUM(U9:U34)</f>
        <v>0</v>
      </c>
      <c r="V35" s="8">
        <f t="shared" si="11"/>
        <v>31683600</v>
      </c>
      <c r="W35" s="8">
        <f t="shared" si="11"/>
        <v>2009474</v>
      </c>
      <c r="X35" s="8"/>
      <c r="Y35" s="8">
        <f t="shared" si="11"/>
        <v>550014504</v>
      </c>
      <c r="Z35" s="8">
        <f t="shared" si="11"/>
        <v>648519316</v>
      </c>
      <c r="AA35" s="142">
        <f t="shared" si="10"/>
        <v>15.189187055763812</v>
      </c>
      <c r="AB35" s="8">
        <f aca="true" t="shared" si="12" ref="AB35:AG35">SUM(AB9:AB34)</f>
        <v>98504812</v>
      </c>
      <c r="AC35" s="325">
        <f t="shared" si="12"/>
        <v>65816450</v>
      </c>
      <c r="AD35" s="8">
        <f t="shared" si="12"/>
        <v>32688362</v>
      </c>
      <c r="AE35" s="8">
        <f t="shared" si="12"/>
        <v>0</v>
      </c>
      <c r="AF35" s="8">
        <f t="shared" si="12"/>
        <v>97949405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2509030</v>
      </c>
      <c r="F36" s="8">
        <f t="shared" si="7"/>
        <v>2509030</v>
      </c>
      <c r="G36" s="10">
        <f t="shared" si="1"/>
        <v>9292512</v>
      </c>
      <c r="H36" s="30">
        <v>9292512</v>
      </c>
      <c r="I36" s="8">
        <f t="shared" si="9"/>
        <v>8534062</v>
      </c>
      <c r="J36" s="30">
        <v>8534062</v>
      </c>
      <c r="K36" s="8">
        <f t="shared" si="8"/>
        <v>2942096</v>
      </c>
      <c r="L36" s="30">
        <v>2942096</v>
      </c>
      <c r="M36" s="8"/>
      <c r="N36" s="8">
        <f>O36+P36+Q36</f>
        <v>4895910</v>
      </c>
      <c r="O36" s="30">
        <v>4895910</v>
      </c>
      <c r="P36" s="70"/>
      <c r="Q36" s="70"/>
      <c r="R36" s="70"/>
      <c r="S36" s="70">
        <f t="shared" si="3"/>
        <v>0</v>
      </c>
      <c r="T36" s="70"/>
      <c r="U36" s="70"/>
      <c r="V36" s="8"/>
      <c r="W36" s="8"/>
      <c r="X36" s="8"/>
      <c r="Y36" s="35">
        <f t="shared" si="4"/>
        <v>25664580</v>
      </c>
      <c r="Z36" s="36">
        <f>Y36+F36</f>
        <v>28173610</v>
      </c>
      <c r="AA36" s="142">
        <f t="shared" si="10"/>
        <v>0</v>
      </c>
      <c r="AE36" s="23">
        <f>E36</f>
        <v>2509030</v>
      </c>
      <c r="AF36" s="159">
        <f>AE36+Y36</f>
        <v>28173610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2310912</v>
      </c>
      <c r="F37" s="8">
        <f t="shared" si="7"/>
        <v>2310912</v>
      </c>
      <c r="G37" s="10">
        <f t="shared" si="1"/>
        <v>3828755</v>
      </c>
      <c r="H37" s="30">
        <v>3828755</v>
      </c>
      <c r="I37" s="8">
        <f t="shared" si="9"/>
        <v>6413152</v>
      </c>
      <c r="J37" s="30">
        <v>6413152</v>
      </c>
      <c r="K37" s="8">
        <f t="shared" si="8"/>
        <v>1548230</v>
      </c>
      <c r="L37" s="30">
        <v>1548230</v>
      </c>
      <c r="M37" s="8"/>
      <c r="N37" s="8">
        <f>O37+P37+Q37</f>
        <v>3109952</v>
      </c>
      <c r="O37" s="30">
        <v>3109952</v>
      </c>
      <c r="P37" s="70"/>
      <c r="Q37" s="70"/>
      <c r="R37" s="70"/>
      <c r="S37" s="70">
        <f t="shared" si="3"/>
        <v>0</v>
      </c>
      <c r="T37" s="70"/>
      <c r="U37" s="70"/>
      <c r="V37" s="70"/>
      <c r="W37" s="70"/>
      <c r="X37" s="70">
        <v>2987976</v>
      </c>
      <c r="Y37" s="35">
        <f t="shared" si="4"/>
        <v>17888065</v>
      </c>
      <c r="Z37" s="36">
        <f>Y37+F37</f>
        <v>20198977</v>
      </c>
      <c r="AA37" s="142">
        <f t="shared" si="10"/>
        <v>0</v>
      </c>
      <c r="AC37" s="158"/>
      <c r="AD37" s="158"/>
      <c r="AE37" s="23">
        <f>E37</f>
        <v>2310912</v>
      </c>
      <c r="AF37" s="159">
        <f>AE37+Y37</f>
        <v>20198977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3" ref="D38:W38">SUM(D35:D37)</f>
        <v>98504812</v>
      </c>
      <c r="E38" s="70">
        <f t="shared" si="13"/>
        <v>4819942</v>
      </c>
      <c r="F38" s="8">
        <f t="shared" si="13"/>
        <v>103324754</v>
      </c>
      <c r="G38" s="70">
        <f>SUM(G35:G37)</f>
        <v>188196071</v>
      </c>
      <c r="H38" s="70">
        <f>SUM(H35:H37)</f>
        <v>188196071</v>
      </c>
      <c r="I38" s="70">
        <f>SUM(I35:I37)</f>
        <v>152353654</v>
      </c>
      <c r="J38" s="70">
        <f t="shared" si="13"/>
        <v>152353654</v>
      </c>
      <c r="K38" s="8">
        <f t="shared" si="8"/>
        <v>60071967</v>
      </c>
      <c r="L38" s="70">
        <f t="shared" si="13"/>
        <v>40991603</v>
      </c>
      <c r="M38" s="70">
        <f>SUM(M35:M37)</f>
        <v>19080364</v>
      </c>
      <c r="N38" s="70">
        <f t="shared" si="13"/>
        <v>121607390</v>
      </c>
      <c r="O38" s="70">
        <f t="shared" si="13"/>
        <v>74045293</v>
      </c>
      <c r="P38" s="70">
        <f t="shared" si="13"/>
        <v>22496430</v>
      </c>
      <c r="Q38" s="70">
        <f t="shared" si="13"/>
        <v>13028259</v>
      </c>
      <c r="R38" s="70">
        <f>SUM(R35:R37)</f>
        <v>12037408</v>
      </c>
      <c r="S38" s="70">
        <f t="shared" si="13"/>
        <v>34657017</v>
      </c>
      <c r="T38" s="70">
        <f t="shared" si="13"/>
        <v>34657017</v>
      </c>
      <c r="U38" s="70">
        <f>SUM(U35:U37)</f>
        <v>0</v>
      </c>
      <c r="V38" s="70">
        <f t="shared" si="13"/>
        <v>31683600</v>
      </c>
      <c r="W38" s="70">
        <f t="shared" si="13"/>
        <v>2009474</v>
      </c>
      <c r="X38" s="70">
        <f>SUM(X35:X37)</f>
        <v>2987976</v>
      </c>
      <c r="Y38" s="8">
        <f>SUM(Y35:Y37)</f>
        <v>593567149</v>
      </c>
      <c r="Z38" s="8">
        <f>SUM(Z35:Z37)</f>
        <v>696891903</v>
      </c>
      <c r="AA38" s="142">
        <f>(D38)/Z38*100</f>
        <v>14.134876811734173</v>
      </c>
      <c r="AB38" s="23"/>
      <c r="AC38" s="23"/>
      <c r="AE38" s="8">
        <f>SUM(AE35:AE37)</f>
        <v>4819942</v>
      </c>
      <c r="AF38" s="8">
        <f>SUM(AF35:AF37)</f>
        <v>146321992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14.134876811734173</v>
      </c>
      <c r="E39" s="139">
        <f>E38/Z38*100</f>
        <v>0.6916340940755628</v>
      </c>
      <c r="F39" s="145">
        <f>F38/Z38*100</f>
        <v>14.826510905809734</v>
      </c>
      <c r="G39" s="139">
        <f>G38/Z38*100</f>
        <v>27.00505920499983</v>
      </c>
      <c r="H39" s="139">
        <f>H38/Z38</f>
        <v>0.2700505920499983</v>
      </c>
      <c r="I39" s="139">
        <f>I38/Z38*100</f>
        <v>21.861877479727294</v>
      </c>
      <c r="J39" s="139">
        <f>J38/Z38*100</f>
        <v>21.861877479727294</v>
      </c>
      <c r="K39" s="139">
        <f>K38/Z38*100</f>
        <v>8.619983492619228</v>
      </c>
      <c r="L39" s="139">
        <f>L38/Z38*100</f>
        <v>5.882060449194228</v>
      </c>
      <c r="M39" s="139">
        <f>M38/Z38*100</f>
        <v>2.737923043425</v>
      </c>
      <c r="N39" s="139">
        <f>N38/Z38*100</f>
        <v>17.44996454636667</v>
      </c>
      <c r="O39" s="139">
        <f>O38/Z38</f>
        <v>0.10625075808923554</v>
      </c>
      <c r="P39" s="139">
        <f>P38/Z38</f>
        <v>0.03228108965415832</v>
      </c>
      <c r="Q39" s="139">
        <f>Q38/Z38</f>
        <v>0.01869480610108337</v>
      </c>
      <c r="R39" s="139">
        <f>R38/Z38*100</f>
        <v>1.7272991619189468</v>
      </c>
      <c r="S39" s="139">
        <f>S38/Z38*100</f>
        <v>4.9730836089223445</v>
      </c>
      <c r="T39" s="139"/>
      <c r="U39" s="139">
        <f>U38/Z38</f>
        <v>0</v>
      </c>
      <c r="V39" s="139">
        <f>V38/Z38*100</f>
        <v>4.546415285298558</v>
      </c>
      <c r="W39" s="139">
        <f>W38/Z38*100</f>
        <v>0.28834801944886423</v>
      </c>
      <c r="X39" s="139">
        <f>X38/Z38*100</f>
        <v>0.42875745680747274</v>
      </c>
      <c r="Y39" s="139">
        <f>Y38/Z38*100</f>
        <v>85.17348909419027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0.15189187055763811</v>
      </c>
      <c r="E40" s="113">
        <f>E35/Z35</f>
        <v>0</v>
      </c>
      <c r="F40" s="113">
        <f>F35/Z35</f>
        <v>0.15189187055763811</v>
      </c>
      <c r="G40" s="113">
        <f>G35/Z35</f>
        <v>0.2699608164022673</v>
      </c>
      <c r="H40" s="113">
        <f>H35/Z35</f>
        <v>0.2699608164022673</v>
      </c>
      <c r="I40" s="113">
        <f>I35/Z35</f>
        <v>0.21187717406400275</v>
      </c>
      <c r="J40" s="113">
        <f>J35/Z35</f>
        <v>0.21187717406400275</v>
      </c>
      <c r="K40" s="113">
        <f>K35/Z35</f>
        <v>0.08570545183267911</v>
      </c>
      <c r="L40" s="113">
        <f>L35/Z35</f>
        <v>0.056284024391341336</v>
      </c>
      <c r="M40" s="113"/>
      <c r="N40" s="113">
        <f>N35/Z35</f>
        <v>0.1751706158895659</v>
      </c>
      <c r="O40" s="113">
        <f>O35/Z35</f>
        <v>0.10183109333940024</v>
      </c>
      <c r="P40" s="113">
        <f>P35/Z35</f>
        <v>0.03468891279716332</v>
      </c>
      <c r="Q40" s="113">
        <f>Q35/Z35</f>
        <v>0.020089238174672966</v>
      </c>
      <c r="R40" s="113">
        <f>R35/Z35</f>
        <v>0.018561371578329364</v>
      </c>
      <c r="S40" s="113"/>
      <c r="T40" s="113">
        <f>T35/Z35</f>
        <v>0.05344022320531776</v>
      </c>
      <c r="U40" s="113"/>
      <c r="V40" s="113"/>
      <c r="W40" s="113"/>
      <c r="X40" s="113" t="e">
        <f>X35/AE35</f>
        <v>#DIV/0!</v>
      </c>
      <c r="Y40" s="113">
        <f>Y35/Z35</f>
        <v>0.8481081294423619</v>
      </c>
      <c r="Z40" s="113">
        <f>Z35/Z35</f>
        <v>1</v>
      </c>
      <c r="AA40" s="143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111523506</v>
      </c>
    </row>
    <row r="42" spans="1:31" ht="14.25">
      <c r="A42" s="107" t="str">
        <f>'Anne-5'!A42</f>
        <v>Conn. As on 28.02.2013</v>
      </c>
      <c r="B42" s="108"/>
      <c r="C42" s="118">
        <v>4</v>
      </c>
      <c r="D42" s="8">
        <v>97949405</v>
      </c>
      <c r="E42" s="8">
        <v>4915301</v>
      </c>
      <c r="F42" s="8">
        <v>102864706</v>
      </c>
      <c r="G42" s="8">
        <v>186622120</v>
      </c>
      <c r="H42" s="8">
        <v>186622120</v>
      </c>
      <c r="I42" s="8">
        <v>149886765</v>
      </c>
      <c r="J42" s="8">
        <v>149886765</v>
      </c>
      <c r="K42" s="8">
        <v>60872785</v>
      </c>
      <c r="L42" s="8">
        <v>41654917</v>
      </c>
      <c r="M42" s="8">
        <v>19217868</v>
      </c>
      <c r="N42" s="8">
        <v>119259713</v>
      </c>
      <c r="O42" s="8">
        <v>72638617</v>
      </c>
      <c r="P42" s="8">
        <v>22187630</v>
      </c>
      <c r="Q42" s="8">
        <v>12517765</v>
      </c>
      <c r="R42" s="8">
        <v>11915701</v>
      </c>
      <c r="S42" s="8">
        <v>34315429</v>
      </c>
      <c r="T42" s="8">
        <v>34315429</v>
      </c>
      <c r="U42" s="8">
        <v>0</v>
      </c>
      <c r="V42" s="8">
        <v>31770774</v>
      </c>
      <c r="W42" s="8">
        <v>2060119</v>
      </c>
      <c r="X42" s="8">
        <v>3028539</v>
      </c>
      <c r="Y42" s="35">
        <v>587816244</v>
      </c>
      <c r="Z42" s="36">
        <v>690680950</v>
      </c>
      <c r="AA42" s="142">
        <f>(D42)/Z42*100</f>
        <v>14.181570376307615</v>
      </c>
      <c r="AC42" s="319"/>
      <c r="AE42" s="23"/>
    </row>
    <row r="43" spans="1:29" ht="14.25">
      <c r="A43" s="107" t="str">
        <f>'Anne-5'!A43</f>
        <v>Addition during Mar 2013</v>
      </c>
      <c r="B43" s="108"/>
      <c r="C43" s="118">
        <v>4</v>
      </c>
      <c r="D43" s="8">
        <f aca="true" t="shared" si="14" ref="D43:W43">D38-D42</f>
        <v>555407</v>
      </c>
      <c r="E43" s="8">
        <f t="shared" si="14"/>
        <v>-95359</v>
      </c>
      <c r="F43" s="8">
        <f t="shared" si="14"/>
        <v>460048</v>
      </c>
      <c r="G43" s="8">
        <f t="shared" si="14"/>
        <v>1573951</v>
      </c>
      <c r="H43" s="8">
        <f t="shared" si="14"/>
        <v>1573951</v>
      </c>
      <c r="I43" s="8">
        <f t="shared" si="14"/>
        <v>2466889</v>
      </c>
      <c r="J43" s="8">
        <f t="shared" si="14"/>
        <v>2466889</v>
      </c>
      <c r="K43" s="8">
        <f t="shared" si="14"/>
        <v>-800818</v>
      </c>
      <c r="L43" s="8">
        <f t="shared" si="14"/>
        <v>-663314</v>
      </c>
      <c r="M43" s="8">
        <f t="shared" si="14"/>
        <v>-137504</v>
      </c>
      <c r="N43" s="8">
        <f t="shared" si="14"/>
        <v>2347677</v>
      </c>
      <c r="O43" s="8">
        <f t="shared" si="14"/>
        <v>1406676</v>
      </c>
      <c r="P43" s="8">
        <f t="shared" si="14"/>
        <v>308800</v>
      </c>
      <c r="Q43" s="8">
        <f t="shared" si="14"/>
        <v>510494</v>
      </c>
      <c r="R43" s="8">
        <f>R38-R42</f>
        <v>121707</v>
      </c>
      <c r="S43" s="8">
        <f t="shared" si="14"/>
        <v>341588</v>
      </c>
      <c r="T43" s="8">
        <f t="shared" si="14"/>
        <v>341588</v>
      </c>
      <c r="U43" s="8">
        <f t="shared" si="14"/>
        <v>0</v>
      </c>
      <c r="V43" s="8">
        <f t="shared" si="14"/>
        <v>-87174</v>
      </c>
      <c r="W43" s="8">
        <f t="shared" si="14"/>
        <v>-50645</v>
      </c>
      <c r="X43" s="8">
        <f>X38-X42</f>
        <v>-40563</v>
      </c>
      <c r="Y43" s="8">
        <f>Y38-Y42</f>
        <v>5750905</v>
      </c>
      <c r="Z43" s="8">
        <f>Z38-Z42</f>
        <v>6210953</v>
      </c>
      <c r="AA43" s="429" t="s">
        <v>130</v>
      </c>
      <c r="AB43" s="23"/>
      <c r="AC43" s="23"/>
    </row>
    <row r="44" spans="1:30" ht="14.25">
      <c r="A44" s="107" t="str">
        <f>'Anne-5'!A44</f>
        <v>Conn. As on 31.03.2012</v>
      </c>
      <c r="B44" s="110"/>
      <c r="C44" s="4">
        <v>4</v>
      </c>
      <c r="D44" s="8">
        <v>94509074</v>
      </c>
      <c r="E44" s="8">
        <v>5593378</v>
      </c>
      <c r="F44" s="8">
        <v>100102452</v>
      </c>
      <c r="G44" s="8">
        <v>181279296</v>
      </c>
      <c r="H44" s="8">
        <v>181279296</v>
      </c>
      <c r="I44" s="8">
        <v>150465330</v>
      </c>
      <c r="J44" s="8">
        <v>150465330</v>
      </c>
      <c r="K44" s="8">
        <v>62572579</v>
      </c>
      <c r="L44" s="8">
        <v>40986365</v>
      </c>
      <c r="M44" s="8">
        <v>21586214</v>
      </c>
      <c r="N44" s="8">
        <v>112722692</v>
      </c>
      <c r="O44" s="8">
        <v>67819039</v>
      </c>
      <c r="P44" s="8">
        <v>21523697</v>
      </c>
      <c r="Q44" s="8">
        <v>12267856</v>
      </c>
      <c r="R44" s="8">
        <v>11112100</v>
      </c>
      <c r="S44" s="8">
        <v>31840536</v>
      </c>
      <c r="T44" s="8">
        <v>31840536</v>
      </c>
      <c r="U44" s="8">
        <v>0</v>
      </c>
      <c r="V44" s="8">
        <v>42431924</v>
      </c>
      <c r="W44" s="8">
        <v>5951588</v>
      </c>
      <c r="X44" s="8">
        <v>3267241</v>
      </c>
      <c r="Y44" s="8">
        <v>595654147</v>
      </c>
      <c r="Z44" s="8">
        <v>695756599</v>
      </c>
      <c r="AA44" s="144">
        <f>(D44)/Z44*100</f>
        <v>13.583640332817023</v>
      </c>
      <c r="AD44" s="23"/>
    </row>
    <row r="45" spans="1:30" ht="14.25">
      <c r="A45" s="107" t="str">
        <f>'Anne-5'!A45</f>
        <v>Addition during 2012-13</v>
      </c>
      <c r="B45" s="108"/>
      <c r="C45" s="4">
        <v>3</v>
      </c>
      <c r="D45" s="8">
        <f>D38-D44</f>
        <v>3995738</v>
      </c>
      <c r="E45" s="8">
        <f aca="true" t="shared" si="15" ref="E45:Z45">E38-E44</f>
        <v>-773436</v>
      </c>
      <c r="F45" s="8">
        <f t="shared" si="15"/>
        <v>3222302</v>
      </c>
      <c r="G45" s="8">
        <f t="shared" si="15"/>
        <v>6916775</v>
      </c>
      <c r="H45" s="8">
        <f t="shared" si="15"/>
        <v>6916775</v>
      </c>
      <c r="I45" s="8">
        <f t="shared" si="15"/>
        <v>1888324</v>
      </c>
      <c r="J45" s="8">
        <f t="shared" si="15"/>
        <v>1888324</v>
      </c>
      <c r="K45" s="8">
        <f t="shared" si="15"/>
        <v>-2500612</v>
      </c>
      <c r="L45" s="8">
        <f t="shared" si="15"/>
        <v>5238</v>
      </c>
      <c r="M45" s="8">
        <f t="shared" si="15"/>
        <v>-2505850</v>
      </c>
      <c r="N45" s="8">
        <f t="shared" si="15"/>
        <v>8884698</v>
      </c>
      <c r="O45" s="8">
        <f t="shared" si="15"/>
        <v>6226254</v>
      </c>
      <c r="P45" s="8">
        <f t="shared" si="15"/>
        <v>972733</v>
      </c>
      <c r="Q45" s="8">
        <f t="shared" si="15"/>
        <v>760403</v>
      </c>
      <c r="R45" s="8">
        <f>R38-R44</f>
        <v>925308</v>
      </c>
      <c r="S45" s="8">
        <f t="shared" si="15"/>
        <v>2816481</v>
      </c>
      <c r="T45" s="8">
        <f t="shared" si="15"/>
        <v>2816481</v>
      </c>
      <c r="U45" s="8">
        <f t="shared" si="15"/>
        <v>0</v>
      </c>
      <c r="V45" s="8">
        <f t="shared" si="15"/>
        <v>-10748324</v>
      </c>
      <c r="W45" s="8">
        <f t="shared" si="15"/>
        <v>-3942114</v>
      </c>
      <c r="X45" s="8">
        <f>X38-X44</f>
        <v>-279265</v>
      </c>
      <c r="Y45" s="8">
        <f t="shared" si="15"/>
        <v>-2086998</v>
      </c>
      <c r="Z45" s="8">
        <f t="shared" si="15"/>
        <v>1135304</v>
      </c>
      <c r="AA45" s="429" t="s">
        <v>130</v>
      </c>
      <c r="AB45" s="23"/>
      <c r="AC45" s="23"/>
      <c r="AD45" s="23"/>
    </row>
    <row r="46" spans="1:30" ht="15">
      <c r="A46" s="2" t="s">
        <v>195</v>
      </c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N48" s="23"/>
      <c r="S48" s="136"/>
      <c r="Z48" s="23"/>
    </row>
    <row r="49" spans="2:29" ht="15">
      <c r="B49" s="26"/>
      <c r="C49" s="26"/>
      <c r="D49" s="23"/>
      <c r="S49" s="23"/>
      <c r="T49" s="23"/>
      <c r="Y49" s="23"/>
      <c r="Z49" s="2">
        <v>97172146</v>
      </c>
      <c r="AC49" s="23"/>
    </row>
    <row r="50" spans="2:26" ht="15">
      <c r="B50" s="26"/>
      <c r="C50" s="26"/>
      <c r="Z50" s="23">
        <f>Z38-S38-D42+Z49</f>
        <v>661457627</v>
      </c>
    </row>
    <row r="51" spans="5:29" ht="14.25">
      <c r="E51" s="23"/>
      <c r="F51" s="23"/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643488774</v>
      </c>
    </row>
  </sheetData>
  <sheetProtection/>
  <mergeCells count="22">
    <mergeCell ref="N7:N8"/>
    <mergeCell ref="U7:U8"/>
    <mergeCell ref="V7:V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X7:X8"/>
    <mergeCell ref="W7:W8"/>
    <mergeCell ref="AB6:AD7"/>
    <mergeCell ref="Z6:Z8"/>
    <mergeCell ref="Y6:Y8"/>
    <mergeCell ref="AA6:AA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6.140625" style="332" customWidth="1"/>
    <col min="2" max="2" width="24.140625" style="332" customWidth="1"/>
    <col min="3" max="3" width="6.7109375" style="332" customWidth="1"/>
    <col min="4" max="4" width="12.140625" style="332" customWidth="1"/>
    <col min="5" max="5" width="10.140625" style="332" customWidth="1"/>
    <col min="6" max="6" width="12.00390625" style="332" customWidth="1"/>
    <col min="7" max="7" width="10.140625" style="332" customWidth="1"/>
    <col min="8" max="8" width="12.140625" style="332" customWidth="1"/>
    <col min="9" max="9" width="14.28125" style="337" customWidth="1"/>
    <col min="10" max="10" width="14.140625" style="332" customWidth="1"/>
    <col min="11" max="11" width="11.28125" style="332" customWidth="1"/>
    <col min="12" max="12" width="13.00390625" style="332" customWidth="1"/>
    <col min="13" max="14" width="14.28125" style="332" customWidth="1"/>
    <col min="15" max="15" width="11.8515625" style="332" customWidth="1"/>
    <col min="16" max="22" width="11.7109375" style="332" customWidth="1"/>
    <col min="23" max="23" width="10.140625" style="332" bestFit="1" customWidth="1"/>
    <col min="24" max="24" width="9.140625" style="332" customWidth="1"/>
    <col min="25" max="25" width="9.28125" style="332" customWidth="1"/>
    <col min="26" max="26" width="11.7109375" style="332" bestFit="1" customWidth="1"/>
    <col min="27" max="27" width="10.7109375" style="332" bestFit="1" customWidth="1"/>
    <col min="28" max="28" width="11.421875" style="332" customWidth="1"/>
    <col min="29" max="16384" width="9.140625" style="332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30th April 2013.</v>
      </c>
    </row>
    <row r="4" spans="2:3" ht="15.75">
      <c r="B4" s="29" t="s">
        <v>244</v>
      </c>
      <c r="C4" s="29"/>
    </row>
    <row r="5" spans="4:12" ht="15">
      <c r="D5" s="332">
        <v>1</v>
      </c>
      <c r="G5" s="332">
        <v>2</v>
      </c>
      <c r="I5" s="337">
        <v>3</v>
      </c>
      <c r="J5" s="332">
        <v>4</v>
      </c>
      <c r="K5" s="332">
        <v>5</v>
      </c>
      <c r="L5" s="332">
        <v>6</v>
      </c>
    </row>
    <row r="6" spans="1:22" ht="15" customHeight="1">
      <c r="A6" s="460" t="s">
        <v>19</v>
      </c>
      <c r="B6" s="460" t="s">
        <v>20</v>
      </c>
      <c r="C6" s="551" t="s">
        <v>118</v>
      </c>
      <c r="D6" s="567" t="s">
        <v>105</v>
      </c>
      <c r="E6" s="567"/>
      <c r="F6" s="567"/>
      <c r="G6" s="567"/>
      <c r="H6" s="567"/>
      <c r="I6" s="566" t="s">
        <v>187</v>
      </c>
      <c r="J6" s="566"/>
      <c r="K6" s="566"/>
      <c r="L6" s="566"/>
      <c r="M6" s="566"/>
      <c r="N6" s="561" t="s">
        <v>80</v>
      </c>
      <c r="O6" s="551" t="s">
        <v>120</v>
      </c>
      <c r="P6" s="471" t="s">
        <v>97</v>
      </c>
      <c r="Q6" s="460"/>
      <c r="R6" s="460"/>
      <c r="S6" s="460"/>
      <c r="T6" s="460"/>
      <c r="U6" s="460"/>
      <c r="V6" s="338"/>
    </row>
    <row r="7" spans="1:22" ht="18.75" customHeight="1">
      <c r="A7" s="460"/>
      <c r="B7" s="460"/>
      <c r="C7" s="552"/>
      <c r="D7" s="568" t="s">
        <v>1</v>
      </c>
      <c r="E7" s="568"/>
      <c r="F7" s="568"/>
      <c r="G7" s="569" t="s">
        <v>2</v>
      </c>
      <c r="H7" s="566" t="s">
        <v>89</v>
      </c>
      <c r="I7" s="560" t="s">
        <v>58</v>
      </c>
      <c r="J7" s="568" t="s">
        <v>59</v>
      </c>
      <c r="K7" s="564" t="s">
        <v>189</v>
      </c>
      <c r="L7" s="568" t="s">
        <v>190</v>
      </c>
      <c r="M7" s="562" t="s">
        <v>61</v>
      </c>
      <c r="N7" s="561"/>
      <c r="O7" s="552"/>
      <c r="P7" s="471" t="s">
        <v>98</v>
      </c>
      <c r="Q7" s="460"/>
      <c r="R7" s="460"/>
      <c r="S7" s="460" t="s">
        <v>6</v>
      </c>
      <c r="T7" s="460"/>
      <c r="U7" s="460"/>
      <c r="V7" s="338"/>
    </row>
    <row r="8" spans="1:22" ht="33.75" customHeight="1">
      <c r="A8" s="460"/>
      <c r="B8" s="460"/>
      <c r="C8" s="553"/>
      <c r="D8" s="363" t="s">
        <v>98</v>
      </c>
      <c r="E8" s="363" t="s">
        <v>6</v>
      </c>
      <c r="F8" s="363" t="s">
        <v>47</v>
      </c>
      <c r="G8" s="569"/>
      <c r="H8" s="566"/>
      <c r="I8" s="560"/>
      <c r="J8" s="568"/>
      <c r="K8" s="565"/>
      <c r="L8" s="568"/>
      <c r="M8" s="563"/>
      <c r="N8" s="561"/>
      <c r="O8" s="553"/>
      <c r="P8" s="53" t="s">
        <v>47</v>
      </c>
      <c r="Q8" s="410" t="s">
        <v>87</v>
      </c>
      <c r="R8" s="410" t="s">
        <v>88</v>
      </c>
      <c r="S8" s="411" t="s">
        <v>47</v>
      </c>
      <c r="T8" s="410" t="s">
        <v>87</v>
      </c>
      <c r="U8" s="410" t="s">
        <v>88</v>
      </c>
      <c r="V8" s="137"/>
    </row>
    <row r="9" spans="1:27" ht="17.25" customHeight="1">
      <c r="A9" s="339">
        <v>1</v>
      </c>
      <c r="B9" s="340" t="s">
        <v>21</v>
      </c>
      <c r="C9" s="340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41">
        <f>Q9+R9</f>
        <v>5063</v>
      </c>
      <c r="Q9" s="446">
        <v>2243</v>
      </c>
      <c r="R9" s="342">
        <v>2820</v>
      </c>
      <c r="S9" s="342">
        <f>T9+U9</f>
        <v>6044</v>
      </c>
      <c r="T9" s="342">
        <v>4649</v>
      </c>
      <c r="U9" s="342">
        <v>1395</v>
      </c>
      <c r="V9" s="343"/>
      <c r="W9" s="316">
        <v>11024</v>
      </c>
      <c r="X9" s="316"/>
      <c r="Z9" s="344">
        <f>Q9+T9</f>
        <v>6892</v>
      </c>
      <c r="AA9" s="344">
        <f>R9+U9</f>
        <v>4215</v>
      </c>
    </row>
    <row r="10" spans="1:28" ht="15">
      <c r="A10" s="339">
        <v>2</v>
      </c>
      <c r="B10" s="340" t="s">
        <v>22</v>
      </c>
      <c r="C10" s="345">
        <v>3</v>
      </c>
      <c r="D10" s="364">
        <f>P10</f>
        <v>85336</v>
      </c>
      <c r="E10" s="364">
        <f>S10</f>
        <v>4805</v>
      </c>
      <c r="F10" s="364">
        <f>D10+E10</f>
        <v>90141</v>
      </c>
      <c r="G10" s="365"/>
      <c r="H10" s="365">
        <f>F10+G10</f>
        <v>90141</v>
      </c>
      <c r="I10" s="366">
        <v>7019993</v>
      </c>
      <c r="J10" s="366">
        <v>6585826</v>
      </c>
      <c r="K10" s="366"/>
      <c r="L10" s="366"/>
      <c r="M10" s="365">
        <f>I10+K10+J10+L10</f>
        <v>13605819</v>
      </c>
      <c r="N10" s="365">
        <f>M10+H10</f>
        <v>13695960</v>
      </c>
      <c r="O10" s="141">
        <f>F10/N10*100</f>
        <v>0.6581575880770679</v>
      </c>
      <c r="P10" s="346">
        <f aca="true" t="shared" si="0" ref="P10:P34">Q10+R10</f>
        <v>85336</v>
      </c>
      <c r="Q10" s="446">
        <v>18080</v>
      </c>
      <c r="R10" s="342">
        <v>67256</v>
      </c>
      <c r="S10" s="184">
        <f aca="true" t="shared" si="1" ref="S10:S23">T10+U10</f>
        <v>4805</v>
      </c>
      <c r="T10" s="342">
        <v>3420</v>
      </c>
      <c r="U10" s="342">
        <v>1385</v>
      </c>
      <c r="V10" s="343"/>
      <c r="W10" s="316">
        <v>89783</v>
      </c>
      <c r="Z10" s="344">
        <f aca="true" t="shared" si="2" ref="Z10:Z34">Q10+T10</f>
        <v>21500</v>
      </c>
      <c r="AA10" s="344">
        <f aca="true" t="shared" si="3" ref="AA10:AA34">R10+U10</f>
        <v>68641</v>
      </c>
      <c r="AB10" s="344"/>
    </row>
    <row r="11" spans="1:28" ht="15">
      <c r="A11" s="339">
        <v>3</v>
      </c>
      <c r="B11" s="340" t="s">
        <v>23</v>
      </c>
      <c r="C11" s="345">
        <v>1</v>
      </c>
      <c r="D11" s="364">
        <f>P11</f>
        <v>81340</v>
      </c>
      <c r="E11" s="364">
        <f>S11</f>
        <v>10323</v>
      </c>
      <c r="F11" s="364">
        <f aca="true" t="shared" si="4" ref="F11:F34">D11+E11</f>
        <v>91663</v>
      </c>
      <c r="G11" s="365"/>
      <c r="H11" s="365">
        <f aca="true" t="shared" si="5" ref="H11:H37">F11+G11</f>
        <v>91663</v>
      </c>
      <c r="I11" s="366"/>
      <c r="J11" s="366"/>
      <c r="K11" s="366"/>
      <c r="L11" s="366"/>
      <c r="M11" s="365">
        <f aca="true" t="shared" si="6" ref="M11:M33">I11+K11+J11+L11</f>
        <v>0</v>
      </c>
      <c r="N11" s="365">
        <f aca="true" t="shared" si="7" ref="N11:N37">M11+H11</f>
        <v>91663</v>
      </c>
      <c r="O11" s="141">
        <f aca="true" t="shared" si="8" ref="O11:O35">F11/N11*100</f>
        <v>100</v>
      </c>
      <c r="P11" s="346">
        <f t="shared" si="0"/>
        <v>81340</v>
      </c>
      <c r="Q11" s="446">
        <v>2073</v>
      </c>
      <c r="R11" s="342">
        <v>79267</v>
      </c>
      <c r="S11" s="184">
        <f t="shared" si="1"/>
        <v>10323</v>
      </c>
      <c r="T11" s="342">
        <v>1680</v>
      </c>
      <c r="U11" s="342">
        <v>8643</v>
      </c>
      <c r="V11" s="343"/>
      <c r="W11" s="316">
        <v>91171</v>
      </c>
      <c r="X11" s="344"/>
      <c r="Z11" s="344">
        <f t="shared" si="2"/>
        <v>3753</v>
      </c>
      <c r="AA11" s="344">
        <f t="shared" si="3"/>
        <v>87910</v>
      </c>
      <c r="AB11" s="344"/>
    </row>
    <row r="12" spans="1:28" ht="15">
      <c r="A12" s="339">
        <v>4</v>
      </c>
      <c r="B12" s="340" t="s">
        <v>24</v>
      </c>
      <c r="C12" s="345">
        <v>3</v>
      </c>
      <c r="D12" s="364">
        <f>P12+P18</f>
        <v>212503</v>
      </c>
      <c r="E12" s="364">
        <f>S12+S18</f>
        <v>4029</v>
      </c>
      <c r="F12" s="364">
        <f t="shared" si="4"/>
        <v>216532</v>
      </c>
      <c r="G12" s="365"/>
      <c r="H12" s="365">
        <f t="shared" si="5"/>
        <v>216532</v>
      </c>
      <c r="I12" s="366">
        <v>3647496</v>
      </c>
      <c r="J12" s="366">
        <v>3645983</v>
      </c>
      <c r="K12" s="366"/>
      <c r="L12" s="366"/>
      <c r="M12" s="365">
        <f t="shared" si="6"/>
        <v>7293479</v>
      </c>
      <c r="N12" s="365">
        <f t="shared" si="7"/>
        <v>7510011</v>
      </c>
      <c r="O12" s="141">
        <f t="shared" si="8"/>
        <v>2.8832447782033874</v>
      </c>
      <c r="P12" s="346">
        <f t="shared" si="0"/>
        <v>113755</v>
      </c>
      <c r="Q12" s="446">
        <v>6129</v>
      </c>
      <c r="R12" s="342">
        <v>107626</v>
      </c>
      <c r="S12" s="184">
        <f t="shared" si="1"/>
        <v>2467</v>
      </c>
      <c r="T12" s="342">
        <v>1931</v>
      </c>
      <c r="U12" s="342">
        <v>536</v>
      </c>
      <c r="V12" s="343"/>
      <c r="W12" s="316">
        <v>116049</v>
      </c>
      <c r="X12" s="344"/>
      <c r="Z12" s="344">
        <f t="shared" si="2"/>
        <v>8060</v>
      </c>
      <c r="AA12" s="344">
        <f t="shared" si="3"/>
        <v>108162</v>
      </c>
      <c r="AB12" s="344"/>
    </row>
    <row r="13" spans="1:28" ht="15">
      <c r="A13" s="339">
        <v>5</v>
      </c>
      <c r="B13" s="340" t="s">
        <v>25</v>
      </c>
      <c r="C13" s="345"/>
      <c r="D13" s="364"/>
      <c r="E13" s="364"/>
      <c r="F13" s="364"/>
      <c r="G13" s="365"/>
      <c r="H13" s="365"/>
      <c r="I13" s="366">
        <v>0</v>
      </c>
      <c r="J13" s="366"/>
      <c r="K13" s="366"/>
      <c r="L13" s="366"/>
      <c r="M13" s="365"/>
      <c r="N13" s="365"/>
      <c r="O13" s="141"/>
      <c r="P13" s="346">
        <f t="shared" si="0"/>
        <v>113277</v>
      </c>
      <c r="Q13" s="446">
        <v>26980</v>
      </c>
      <c r="R13" s="342">
        <v>86297</v>
      </c>
      <c r="S13" s="184">
        <f t="shared" si="1"/>
        <v>6517</v>
      </c>
      <c r="T13" s="342">
        <v>1473</v>
      </c>
      <c r="U13" s="342">
        <v>5044</v>
      </c>
      <c r="V13" s="343"/>
      <c r="W13" s="316">
        <v>120076</v>
      </c>
      <c r="X13" s="344"/>
      <c r="Z13" s="344">
        <f t="shared" si="2"/>
        <v>28453</v>
      </c>
      <c r="AA13" s="344">
        <f t="shared" si="3"/>
        <v>91341</v>
      </c>
      <c r="AB13" s="344"/>
    </row>
    <row r="14" spans="1:28" ht="15">
      <c r="A14" s="339">
        <v>6</v>
      </c>
      <c r="B14" s="340" t="s">
        <v>26</v>
      </c>
      <c r="C14" s="345">
        <v>4</v>
      </c>
      <c r="D14" s="364">
        <f>P14</f>
        <v>96791</v>
      </c>
      <c r="E14" s="364">
        <f>S14</f>
        <v>22524</v>
      </c>
      <c r="F14" s="364">
        <f t="shared" si="4"/>
        <v>119315</v>
      </c>
      <c r="G14" s="365"/>
      <c r="H14" s="365">
        <f t="shared" si="5"/>
        <v>119315</v>
      </c>
      <c r="I14" s="366">
        <v>7021625</v>
      </c>
      <c r="J14" s="366">
        <v>2791560</v>
      </c>
      <c r="K14" s="366"/>
      <c r="L14" s="366">
        <v>211480</v>
      </c>
      <c r="M14" s="365">
        <f t="shared" si="6"/>
        <v>10024665</v>
      </c>
      <c r="N14" s="365">
        <f t="shared" si="7"/>
        <v>10143980</v>
      </c>
      <c r="O14" s="141">
        <f t="shared" si="8"/>
        <v>1.176214858467781</v>
      </c>
      <c r="P14" s="346">
        <f t="shared" si="0"/>
        <v>96791</v>
      </c>
      <c r="Q14" s="446">
        <v>22489</v>
      </c>
      <c r="R14" s="342">
        <v>74302</v>
      </c>
      <c r="S14" s="184">
        <f>T14+U14</f>
        <v>22524</v>
      </c>
      <c r="T14" s="342">
        <v>20314</v>
      </c>
      <c r="U14" s="342">
        <v>2210</v>
      </c>
      <c r="V14" s="343"/>
      <c r="W14" s="316">
        <v>124347</v>
      </c>
      <c r="X14" s="344"/>
      <c r="Z14" s="344">
        <f t="shared" si="2"/>
        <v>42803</v>
      </c>
      <c r="AA14" s="344">
        <f t="shared" si="3"/>
        <v>76512</v>
      </c>
      <c r="AB14" s="344"/>
    </row>
    <row r="15" spans="1:28" ht="15">
      <c r="A15" s="339">
        <v>7</v>
      </c>
      <c r="B15" s="340" t="s">
        <v>27</v>
      </c>
      <c r="C15" s="345">
        <v>3</v>
      </c>
      <c r="D15" s="364">
        <f>P15</f>
        <v>19057</v>
      </c>
      <c r="E15" s="364">
        <f>S15</f>
        <v>1674</v>
      </c>
      <c r="F15" s="364">
        <f t="shared" si="4"/>
        <v>20731</v>
      </c>
      <c r="G15" s="365"/>
      <c r="H15" s="365">
        <f t="shared" si="5"/>
        <v>20731</v>
      </c>
      <c r="I15" s="366">
        <v>2272470</v>
      </c>
      <c r="J15" s="366">
        <v>2640918</v>
      </c>
      <c r="K15" s="366"/>
      <c r="L15" s="366"/>
      <c r="M15" s="365">
        <f t="shared" si="6"/>
        <v>4913388</v>
      </c>
      <c r="N15" s="365">
        <f t="shared" si="7"/>
        <v>4934119</v>
      </c>
      <c r="O15" s="141">
        <f t="shared" si="8"/>
        <v>0.42015606028148084</v>
      </c>
      <c r="P15" s="346">
        <f t="shared" si="0"/>
        <v>19057</v>
      </c>
      <c r="Q15" s="446">
        <v>2410</v>
      </c>
      <c r="R15" s="342">
        <v>16647</v>
      </c>
      <c r="S15" s="184">
        <f t="shared" si="1"/>
        <v>1674</v>
      </c>
      <c r="T15" s="347">
        <v>1573</v>
      </c>
      <c r="U15" s="342">
        <v>101</v>
      </c>
      <c r="V15" s="343"/>
      <c r="W15" s="316">
        <v>20627</v>
      </c>
      <c r="X15" s="344"/>
      <c r="Z15" s="344">
        <f t="shared" si="2"/>
        <v>3983</v>
      </c>
      <c r="AA15" s="344">
        <f t="shared" si="3"/>
        <v>16748</v>
      </c>
      <c r="AB15" s="344"/>
    </row>
    <row r="16" spans="1:28" ht="18" customHeight="1">
      <c r="A16" s="339">
        <v>8</v>
      </c>
      <c r="B16" s="340" t="s">
        <v>28</v>
      </c>
      <c r="C16" s="345">
        <v>2</v>
      </c>
      <c r="D16" s="364">
        <f>P16</f>
        <v>57304</v>
      </c>
      <c r="E16" s="364">
        <f>S16</f>
        <v>655</v>
      </c>
      <c r="F16" s="364">
        <f t="shared" si="4"/>
        <v>57959</v>
      </c>
      <c r="G16" s="365"/>
      <c r="H16" s="365">
        <f t="shared" si="5"/>
        <v>57959</v>
      </c>
      <c r="I16" s="366">
        <v>0</v>
      </c>
      <c r="J16" s="366">
        <v>177512</v>
      </c>
      <c r="K16" s="366"/>
      <c r="L16" s="366"/>
      <c r="M16" s="365">
        <f t="shared" si="6"/>
        <v>177512</v>
      </c>
      <c r="N16" s="365">
        <f t="shared" si="7"/>
        <v>235471</v>
      </c>
      <c r="O16" s="141">
        <f t="shared" si="8"/>
        <v>24.614071371846215</v>
      </c>
      <c r="P16" s="346">
        <f t="shared" si="0"/>
        <v>57304</v>
      </c>
      <c r="Q16" s="446">
        <v>3587</v>
      </c>
      <c r="R16" s="342">
        <v>53717</v>
      </c>
      <c r="S16" s="184">
        <f t="shared" si="1"/>
        <v>655</v>
      </c>
      <c r="T16" s="342">
        <v>100</v>
      </c>
      <c r="U16" s="342">
        <v>555</v>
      </c>
      <c r="V16" s="343"/>
      <c r="W16" s="316">
        <v>58716</v>
      </c>
      <c r="X16" s="344"/>
      <c r="Z16" s="344">
        <f t="shared" si="2"/>
        <v>3687</v>
      </c>
      <c r="AA16" s="344">
        <f t="shared" si="3"/>
        <v>54272</v>
      </c>
      <c r="AB16" s="344"/>
    </row>
    <row r="17" spans="1:28" ht="17.25" customHeight="1">
      <c r="A17" s="339">
        <v>9</v>
      </c>
      <c r="B17" s="340" t="s">
        <v>29</v>
      </c>
      <c r="C17" s="345">
        <v>2</v>
      </c>
      <c r="D17" s="364">
        <f>P17</f>
        <v>69141</v>
      </c>
      <c r="E17" s="364">
        <f>S17</f>
        <v>527</v>
      </c>
      <c r="F17" s="364">
        <f t="shared" si="4"/>
        <v>69668</v>
      </c>
      <c r="G17" s="365"/>
      <c r="H17" s="365">
        <f t="shared" si="5"/>
        <v>69668</v>
      </c>
      <c r="I17" s="366">
        <v>624913</v>
      </c>
      <c r="J17" s="366"/>
      <c r="K17" s="366"/>
      <c r="L17" s="366"/>
      <c r="M17" s="365">
        <f t="shared" si="6"/>
        <v>624913</v>
      </c>
      <c r="N17" s="365">
        <f t="shared" si="7"/>
        <v>694581</v>
      </c>
      <c r="O17" s="141">
        <f t="shared" si="8"/>
        <v>10.030219657606528</v>
      </c>
      <c r="P17" s="346">
        <f t="shared" si="0"/>
        <v>69141</v>
      </c>
      <c r="Q17" s="446">
        <v>42038</v>
      </c>
      <c r="R17" s="342">
        <v>27103</v>
      </c>
      <c r="S17" s="184">
        <f t="shared" si="1"/>
        <v>527</v>
      </c>
      <c r="T17" s="342">
        <v>215</v>
      </c>
      <c r="U17" s="342">
        <v>312</v>
      </c>
      <c r="V17" s="343"/>
      <c r="W17" s="316">
        <v>68917</v>
      </c>
      <c r="X17" s="344"/>
      <c r="Z17" s="344">
        <f t="shared" si="2"/>
        <v>42253</v>
      </c>
      <c r="AA17" s="344">
        <f t="shared" si="3"/>
        <v>27415</v>
      </c>
      <c r="AB17" s="344"/>
    </row>
    <row r="18" spans="1:28" ht="15">
      <c r="A18" s="339">
        <v>10</v>
      </c>
      <c r="B18" s="340" t="s">
        <v>30</v>
      </c>
      <c r="C18" s="345"/>
      <c r="D18" s="364"/>
      <c r="E18" s="364"/>
      <c r="F18" s="364"/>
      <c r="G18" s="365"/>
      <c r="H18" s="365"/>
      <c r="I18" s="366">
        <v>0</v>
      </c>
      <c r="J18" s="366"/>
      <c r="K18" s="366"/>
      <c r="L18" s="366"/>
      <c r="M18" s="365"/>
      <c r="N18" s="365"/>
      <c r="O18" s="141"/>
      <c r="P18" s="346">
        <f t="shared" si="0"/>
        <v>98748</v>
      </c>
      <c r="Q18" s="446">
        <v>17219</v>
      </c>
      <c r="R18" s="342">
        <v>81529</v>
      </c>
      <c r="S18" s="184">
        <f t="shared" si="1"/>
        <v>1562</v>
      </c>
      <c r="T18" s="342">
        <v>1562</v>
      </c>
      <c r="U18" s="342">
        <v>0</v>
      </c>
      <c r="V18" s="343"/>
      <c r="W18" s="316">
        <v>101482</v>
      </c>
      <c r="X18" s="344"/>
      <c r="Z18" s="344">
        <f t="shared" si="2"/>
        <v>18781</v>
      </c>
      <c r="AA18" s="344">
        <f t="shared" si="3"/>
        <v>81529</v>
      </c>
      <c r="AB18" s="344"/>
    </row>
    <row r="19" spans="1:28" ht="15">
      <c r="A19" s="339">
        <v>11</v>
      </c>
      <c r="B19" s="340" t="s">
        <v>31</v>
      </c>
      <c r="C19" s="345">
        <v>4</v>
      </c>
      <c r="D19" s="364">
        <f>P19</f>
        <v>163705</v>
      </c>
      <c r="E19" s="364">
        <f>S19</f>
        <v>12054</v>
      </c>
      <c r="F19" s="364">
        <f t="shared" si="4"/>
        <v>175759</v>
      </c>
      <c r="G19" s="365"/>
      <c r="H19" s="365">
        <f t="shared" si="5"/>
        <v>175759</v>
      </c>
      <c r="I19" s="366">
        <v>6793228</v>
      </c>
      <c r="J19" s="366">
        <v>5969505</v>
      </c>
      <c r="K19" s="366"/>
      <c r="L19" s="366">
        <v>2027374</v>
      </c>
      <c r="M19" s="365">
        <f t="shared" si="6"/>
        <v>14790107</v>
      </c>
      <c r="N19" s="365">
        <f t="shared" si="7"/>
        <v>14965866</v>
      </c>
      <c r="O19" s="141">
        <f t="shared" si="8"/>
        <v>1.1743991293253593</v>
      </c>
      <c r="P19" s="346">
        <f t="shared" si="0"/>
        <v>163705</v>
      </c>
      <c r="Q19" s="446">
        <v>28735</v>
      </c>
      <c r="R19" s="342">
        <v>134970</v>
      </c>
      <c r="S19" s="184">
        <f>T19+U19</f>
        <v>12054</v>
      </c>
      <c r="T19" s="342">
        <v>7541</v>
      </c>
      <c r="U19" s="342">
        <v>4513</v>
      </c>
      <c r="V19" s="343"/>
      <c r="W19" s="316">
        <v>180807</v>
      </c>
      <c r="X19" s="344"/>
      <c r="Z19" s="344">
        <f t="shared" si="2"/>
        <v>36276</v>
      </c>
      <c r="AA19" s="344">
        <f t="shared" si="3"/>
        <v>139483</v>
      </c>
      <c r="AB19" s="344"/>
    </row>
    <row r="20" spans="1:28" ht="15">
      <c r="A20" s="339">
        <v>12</v>
      </c>
      <c r="B20" s="340" t="s">
        <v>32</v>
      </c>
      <c r="C20" s="345">
        <v>4</v>
      </c>
      <c r="D20" s="364">
        <f>P20</f>
        <v>282942</v>
      </c>
      <c r="E20" s="364">
        <f>S20</f>
        <v>4527</v>
      </c>
      <c r="F20" s="364">
        <f t="shared" si="4"/>
        <v>287469</v>
      </c>
      <c r="G20" s="365"/>
      <c r="H20" s="365">
        <f t="shared" si="5"/>
        <v>287469</v>
      </c>
      <c r="I20" s="366">
        <v>2940711</v>
      </c>
      <c r="J20" s="366">
        <v>1817832</v>
      </c>
      <c r="K20" s="366"/>
      <c r="L20" s="366">
        <v>480168</v>
      </c>
      <c r="M20" s="365">
        <f t="shared" si="6"/>
        <v>5238711</v>
      </c>
      <c r="N20" s="365">
        <f t="shared" si="7"/>
        <v>5526180</v>
      </c>
      <c r="O20" s="141">
        <f t="shared" si="8"/>
        <v>5.201947819289273</v>
      </c>
      <c r="P20" s="346">
        <f t="shared" si="0"/>
        <v>282942</v>
      </c>
      <c r="Q20" s="446">
        <v>39430</v>
      </c>
      <c r="R20" s="342">
        <v>243512</v>
      </c>
      <c r="S20" s="184">
        <f t="shared" si="1"/>
        <v>4527</v>
      </c>
      <c r="T20" s="342">
        <v>2783</v>
      </c>
      <c r="U20" s="342">
        <v>1744</v>
      </c>
      <c r="V20" s="343"/>
      <c r="W20" s="316">
        <v>291593</v>
      </c>
      <c r="X20" s="344"/>
      <c r="Z20" s="344">
        <f t="shared" si="2"/>
        <v>42213</v>
      </c>
      <c r="AA20" s="344">
        <f t="shared" si="3"/>
        <v>245256</v>
      </c>
      <c r="AB20" s="344"/>
    </row>
    <row r="21" spans="1:28" ht="15">
      <c r="A21" s="339">
        <v>13</v>
      </c>
      <c r="B21" s="340" t="s">
        <v>33</v>
      </c>
      <c r="C21" s="345">
        <v>3</v>
      </c>
      <c r="D21" s="364">
        <f>P21+P13</f>
        <v>199036</v>
      </c>
      <c r="E21" s="364">
        <f>S21+S13</f>
        <v>14959</v>
      </c>
      <c r="F21" s="364">
        <f t="shared" si="4"/>
        <v>213995</v>
      </c>
      <c r="G21" s="365"/>
      <c r="H21" s="365">
        <f t="shared" si="5"/>
        <v>213995</v>
      </c>
      <c r="I21" s="366">
        <v>3949195</v>
      </c>
      <c r="J21" s="366">
        <v>3887364</v>
      </c>
      <c r="K21" s="366"/>
      <c r="L21" s="366"/>
      <c r="M21" s="365">
        <f t="shared" si="6"/>
        <v>7836559</v>
      </c>
      <c r="N21" s="365">
        <f t="shared" si="7"/>
        <v>8050554</v>
      </c>
      <c r="O21" s="141">
        <f t="shared" si="8"/>
        <v>2.658140048498526</v>
      </c>
      <c r="P21" s="346">
        <f t="shared" si="0"/>
        <v>85759</v>
      </c>
      <c r="Q21" s="446">
        <v>20227</v>
      </c>
      <c r="R21" s="342">
        <v>65532</v>
      </c>
      <c r="S21" s="184">
        <f t="shared" si="1"/>
        <v>8442</v>
      </c>
      <c r="T21" s="342">
        <v>6766</v>
      </c>
      <c r="U21" s="342">
        <v>1676</v>
      </c>
      <c r="V21" s="343"/>
      <c r="W21" s="316">
        <v>93618</v>
      </c>
      <c r="X21" s="344"/>
      <c r="Z21" s="344">
        <f t="shared" si="2"/>
        <v>26993</v>
      </c>
      <c r="AA21" s="344">
        <f t="shared" si="3"/>
        <v>67208</v>
      </c>
      <c r="AB21" s="344"/>
    </row>
    <row r="22" spans="1:28" ht="15">
      <c r="A22" s="339">
        <v>14</v>
      </c>
      <c r="B22" s="340" t="s">
        <v>34</v>
      </c>
      <c r="C22" s="345">
        <v>4</v>
      </c>
      <c r="D22" s="364">
        <f>P22</f>
        <v>148386</v>
      </c>
      <c r="E22" s="364">
        <f>S22</f>
        <v>3308</v>
      </c>
      <c r="F22" s="364">
        <f t="shared" si="4"/>
        <v>151694</v>
      </c>
      <c r="G22" s="365"/>
      <c r="H22" s="365">
        <f t="shared" si="5"/>
        <v>151694</v>
      </c>
      <c r="I22" s="366">
        <v>7979614</v>
      </c>
      <c r="J22" s="366">
        <v>6229743</v>
      </c>
      <c r="K22" s="366"/>
      <c r="L22" s="366">
        <v>616917</v>
      </c>
      <c r="M22" s="365">
        <f t="shared" si="6"/>
        <v>14826274</v>
      </c>
      <c r="N22" s="365">
        <f t="shared" si="7"/>
        <v>14977968</v>
      </c>
      <c r="O22" s="141">
        <f t="shared" si="8"/>
        <v>1.0127809059279604</v>
      </c>
      <c r="P22" s="346">
        <f t="shared" si="0"/>
        <v>148386</v>
      </c>
      <c r="Q22" s="446">
        <v>39245</v>
      </c>
      <c r="R22" s="342">
        <v>109141</v>
      </c>
      <c r="S22" s="184">
        <f t="shared" si="1"/>
        <v>3308</v>
      </c>
      <c r="T22" s="342">
        <v>2692</v>
      </c>
      <c r="U22" s="342">
        <v>616</v>
      </c>
      <c r="V22" s="343"/>
      <c r="W22" s="316">
        <v>152608</v>
      </c>
      <c r="X22" s="344"/>
      <c r="Z22" s="344">
        <f t="shared" si="2"/>
        <v>41937</v>
      </c>
      <c r="AA22" s="344">
        <f t="shared" si="3"/>
        <v>109757</v>
      </c>
      <c r="AB22" s="344"/>
    </row>
    <row r="23" spans="1:28" ht="15">
      <c r="A23" s="339">
        <v>15</v>
      </c>
      <c r="B23" s="340" t="s">
        <v>35</v>
      </c>
      <c r="C23" s="345">
        <v>1</v>
      </c>
      <c r="D23" s="364">
        <f>P23+P24</f>
        <v>144301</v>
      </c>
      <c r="E23" s="364">
        <f>S23+S24</f>
        <v>3080</v>
      </c>
      <c r="F23" s="364">
        <f t="shared" si="4"/>
        <v>147381</v>
      </c>
      <c r="G23" s="365"/>
      <c r="H23" s="365">
        <f t="shared" si="5"/>
        <v>147381</v>
      </c>
      <c r="I23" s="366">
        <v>0</v>
      </c>
      <c r="J23" s="366"/>
      <c r="K23" s="366"/>
      <c r="L23" s="366"/>
      <c r="M23" s="365">
        <f t="shared" si="6"/>
        <v>0</v>
      </c>
      <c r="N23" s="365">
        <f t="shared" si="7"/>
        <v>147381</v>
      </c>
      <c r="O23" s="141">
        <f t="shared" si="8"/>
        <v>100</v>
      </c>
      <c r="P23" s="346">
        <f t="shared" si="0"/>
        <v>68507</v>
      </c>
      <c r="Q23" s="446">
        <v>790</v>
      </c>
      <c r="R23" s="342">
        <v>67717</v>
      </c>
      <c r="S23" s="184">
        <f t="shared" si="1"/>
        <v>227</v>
      </c>
      <c r="T23" s="342">
        <v>44</v>
      </c>
      <c r="U23" s="342">
        <v>183</v>
      </c>
      <c r="V23" s="343"/>
      <c r="W23" s="316">
        <v>68469</v>
      </c>
      <c r="X23" s="344"/>
      <c r="Z23" s="344">
        <f t="shared" si="2"/>
        <v>834</v>
      </c>
      <c r="AA23" s="344">
        <f t="shared" si="3"/>
        <v>67900</v>
      </c>
      <c r="AB23" s="344"/>
    </row>
    <row r="24" spans="1:28" ht="15">
      <c r="A24" s="339">
        <v>16</v>
      </c>
      <c r="B24" s="340" t="s">
        <v>36</v>
      </c>
      <c r="C24" s="345"/>
      <c r="D24" s="364"/>
      <c r="E24" s="364"/>
      <c r="F24" s="364"/>
      <c r="G24" s="365"/>
      <c r="H24" s="365"/>
      <c r="I24" s="366">
        <v>0</v>
      </c>
      <c r="J24" s="366"/>
      <c r="K24" s="366"/>
      <c r="L24" s="366"/>
      <c r="M24" s="365"/>
      <c r="N24" s="365"/>
      <c r="O24" s="141"/>
      <c r="P24" s="346">
        <f t="shared" si="0"/>
        <v>75794</v>
      </c>
      <c r="Q24" s="446">
        <v>33244</v>
      </c>
      <c r="R24" s="342">
        <v>42550</v>
      </c>
      <c r="S24" s="184">
        <f aca="true" t="shared" si="9" ref="S24:S34">T24+U24</f>
        <v>2853</v>
      </c>
      <c r="T24" s="342">
        <v>2505</v>
      </c>
      <c r="U24" s="342">
        <v>348</v>
      </c>
      <c r="V24" s="343"/>
      <c r="W24" s="316">
        <v>77811</v>
      </c>
      <c r="X24" s="344"/>
      <c r="Z24" s="344">
        <f t="shared" si="2"/>
        <v>35749</v>
      </c>
      <c r="AA24" s="344">
        <f t="shared" si="3"/>
        <v>42898</v>
      </c>
      <c r="AB24" s="344"/>
    </row>
    <row r="25" spans="1:28" ht="15">
      <c r="A25" s="339">
        <v>17</v>
      </c>
      <c r="B25" s="340" t="s">
        <v>37</v>
      </c>
      <c r="C25" s="345">
        <v>2</v>
      </c>
      <c r="D25" s="364">
        <f>P25</f>
        <v>70341</v>
      </c>
      <c r="E25" s="364">
        <f>S25</f>
        <v>0</v>
      </c>
      <c r="F25" s="364">
        <f t="shared" si="4"/>
        <v>70341</v>
      </c>
      <c r="G25" s="365"/>
      <c r="H25" s="365">
        <f t="shared" si="5"/>
        <v>70341</v>
      </c>
      <c r="I25" s="366">
        <v>0</v>
      </c>
      <c r="J25" s="366">
        <v>2087122</v>
      </c>
      <c r="K25" s="366"/>
      <c r="L25" s="366"/>
      <c r="M25" s="365">
        <f t="shared" si="6"/>
        <v>2087122</v>
      </c>
      <c r="N25" s="365">
        <f t="shared" si="7"/>
        <v>2157463</v>
      </c>
      <c r="O25" s="141">
        <f t="shared" si="8"/>
        <v>3.2603571880491113</v>
      </c>
      <c r="P25" s="346">
        <f t="shared" si="0"/>
        <v>70341</v>
      </c>
      <c r="Q25" s="446">
        <v>25887</v>
      </c>
      <c r="R25" s="342">
        <v>44454</v>
      </c>
      <c r="S25" s="184">
        <f t="shared" si="9"/>
        <v>0</v>
      </c>
      <c r="T25" s="342">
        <v>0</v>
      </c>
      <c r="U25" s="342">
        <v>0</v>
      </c>
      <c r="V25" s="343"/>
      <c r="W25" s="316">
        <v>73043</v>
      </c>
      <c r="X25" s="344"/>
      <c r="Z25" s="344">
        <f t="shared" si="2"/>
        <v>25887</v>
      </c>
      <c r="AA25" s="344">
        <f t="shared" si="3"/>
        <v>44454</v>
      </c>
      <c r="AB25" s="344"/>
    </row>
    <row r="26" spans="1:28" ht="15">
      <c r="A26" s="339">
        <v>18</v>
      </c>
      <c r="B26" s="340" t="s">
        <v>38</v>
      </c>
      <c r="C26" s="345">
        <v>4</v>
      </c>
      <c r="D26" s="364">
        <f>P26</f>
        <v>25262</v>
      </c>
      <c r="E26" s="364">
        <f>S26</f>
        <v>15171</v>
      </c>
      <c r="F26" s="364">
        <f t="shared" si="4"/>
        <v>40433</v>
      </c>
      <c r="G26" s="365"/>
      <c r="H26" s="365">
        <f t="shared" si="5"/>
        <v>40433</v>
      </c>
      <c r="I26" s="366">
        <v>3048056</v>
      </c>
      <c r="J26" s="366">
        <v>2413378</v>
      </c>
      <c r="K26" s="366">
        <v>1367658</v>
      </c>
      <c r="L26" s="366"/>
      <c r="M26" s="365">
        <f t="shared" si="6"/>
        <v>6829092</v>
      </c>
      <c r="N26" s="365">
        <f t="shared" si="7"/>
        <v>6869525</v>
      </c>
      <c r="O26" s="141">
        <f t="shared" si="8"/>
        <v>0.5885850914000604</v>
      </c>
      <c r="P26" s="346">
        <f t="shared" si="0"/>
        <v>25262</v>
      </c>
      <c r="Q26" s="446">
        <v>4489</v>
      </c>
      <c r="R26" s="342">
        <v>20773</v>
      </c>
      <c r="S26" s="184">
        <f t="shared" si="9"/>
        <v>15171</v>
      </c>
      <c r="T26" s="348">
        <v>12489</v>
      </c>
      <c r="U26" s="342">
        <v>2682</v>
      </c>
      <c r="V26" s="343"/>
      <c r="W26" s="316">
        <v>41137</v>
      </c>
      <c r="X26" s="344"/>
      <c r="Z26" s="344">
        <f t="shared" si="2"/>
        <v>16978</v>
      </c>
      <c r="AA26" s="344">
        <f t="shared" si="3"/>
        <v>23455</v>
      </c>
      <c r="AB26" s="344"/>
    </row>
    <row r="27" spans="1:28" ht="15">
      <c r="A27" s="339">
        <v>19</v>
      </c>
      <c r="B27" s="340" t="s">
        <v>39</v>
      </c>
      <c r="C27" s="345">
        <v>4</v>
      </c>
      <c r="D27" s="364">
        <f>P27</f>
        <v>168980</v>
      </c>
      <c r="E27" s="364">
        <f>S27</f>
        <v>9050</v>
      </c>
      <c r="F27" s="364">
        <f t="shared" si="4"/>
        <v>178030</v>
      </c>
      <c r="G27" s="365"/>
      <c r="H27" s="365">
        <f t="shared" si="5"/>
        <v>178030</v>
      </c>
      <c r="I27" s="366">
        <v>5707873</v>
      </c>
      <c r="J27" s="366">
        <v>2895806</v>
      </c>
      <c r="K27" s="366"/>
      <c r="L27" s="366">
        <v>2219801</v>
      </c>
      <c r="M27" s="365">
        <f t="shared" si="6"/>
        <v>10823480</v>
      </c>
      <c r="N27" s="365">
        <f t="shared" si="7"/>
        <v>11001510</v>
      </c>
      <c r="O27" s="141">
        <f t="shared" si="8"/>
        <v>1.6182324062787745</v>
      </c>
      <c r="P27" s="346">
        <f t="shared" si="0"/>
        <v>168980</v>
      </c>
      <c r="Q27" s="446">
        <v>24952</v>
      </c>
      <c r="R27" s="342">
        <v>144028</v>
      </c>
      <c r="S27" s="184">
        <f t="shared" si="9"/>
        <v>9050</v>
      </c>
      <c r="T27" s="342">
        <v>7612</v>
      </c>
      <c r="U27" s="342">
        <v>1438</v>
      </c>
      <c r="V27" s="343"/>
      <c r="W27" s="316">
        <v>181344</v>
      </c>
      <c r="X27" s="344"/>
      <c r="Z27" s="344">
        <f t="shared" si="2"/>
        <v>32564</v>
      </c>
      <c r="AA27" s="344">
        <f t="shared" si="3"/>
        <v>145466</v>
      </c>
      <c r="AB27" s="344"/>
    </row>
    <row r="28" spans="1:28" ht="15">
      <c r="A28" s="339">
        <v>20</v>
      </c>
      <c r="B28" s="340" t="s">
        <v>40</v>
      </c>
      <c r="C28" s="345">
        <v>4</v>
      </c>
      <c r="D28" s="364">
        <f>P28</f>
        <v>94962</v>
      </c>
      <c r="E28" s="364">
        <f>S28</f>
        <v>5947</v>
      </c>
      <c r="F28" s="364">
        <f t="shared" si="4"/>
        <v>100909</v>
      </c>
      <c r="G28" s="365"/>
      <c r="H28" s="365">
        <f t="shared" si="5"/>
        <v>100909</v>
      </c>
      <c r="I28" s="366">
        <v>6156168</v>
      </c>
      <c r="J28" s="366">
        <v>3963007</v>
      </c>
      <c r="K28" s="366"/>
      <c r="L28" s="366">
        <v>1190437</v>
      </c>
      <c r="M28" s="365">
        <f t="shared" si="6"/>
        <v>11309612</v>
      </c>
      <c r="N28" s="365">
        <f t="shared" si="7"/>
        <v>11410521</v>
      </c>
      <c r="O28" s="141">
        <f t="shared" si="8"/>
        <v>0.8843505042407792</v>
      </c>
      <c r="P28" s="346">
        <f t="shared" si="0"/>
        <v>94962</v>
      </c>
      <c r="Q28" s="446">
        <v>4651</v>
      </c>
      <c r="R28" s="342">
        <v>90311</v>
      </c>
      <c r="S28" s="184">
        <f t="shared" si="9"/>
        <v>5947</v>
      </c>
      <c r="T28" s="342">
        <v>4653</v>
      </c>
      <c r="U28" s="342">
        <v>1294</v>
      </c>
      <c r="V28" s="343"/>
      <c r="W28" s="316">
        <v>100128</v>
      </c>
      <c r="X28" s="344"/>
      <c r="Z28" s="344">
        <f t="shared" si="2"/>
        <v>9304</v>
      </c>
      <c r="AA28" s="344">
        <f t="shared" si="3"/>
        <v>91605</v>
      </c>
      <c r="AB28" s="344"/>
    </row>
    <row r="29" spans="1:28" ht="15">
      <c r="A29" s="339">
        <v>21</v>
      </c>
      <c r="B29" s="340" t="s">
        <v>41</v>
      </c>
      <c r="C29" s="345"/>
      <c r="D29" s="364"/>
      <c r="E29" s="364"/>
      <c r="F29" s="364"/>
      <c r="G29" s="365"/>
      <c r="H29" s="365"/>
      <c r="I29" s="366">
        <v>0</v>
      </c>
      <c r="J29" s="366"/>
      <c r="K29" s="366"/>
      <c r="L29" s="366"/>
      <c r="M29" s="365"/>
      <c r="N29" s="365"/>
      <c r="O29" s="141"/>
      <c r="P29" s="346">
        <f t="shared" si="0"/>
        <v>44091</v>
      </c>
      <c r="Q29" s="446">
        <v>391</v>
      </c>
      <c r="R29" s="342">
        <v>43700</v>
      </c>
      <c r="S29" s="184">
        <f t="shared" si="9"/>
        <v>1263</v>
      </c>
      <c r="T29" s="348">
        <v>409</v>
      </c>
      <c r="U29" s="342">
        <v>854</v>
      </c>
      <c r="V29" s="343"/>
      <c r="W29" s="316">
        <v>45826</v>
      </c>
      <c r="X29" s="344"/>
      <c r="Z29" s="344">
        <f t="shared" si="2"/>
        <v>800</v>
      </c>
      <c r="AA29" s="344">
        <f t="shared" si="3"/>
        <v>44554</v>
      </c>
      <c r="AB29" s="344"/>
    </row>
    <row r="30" spans="1:28" ht="15">
      <c r="A30" s="339">
        <v>22</v>
      </c>
      <c r="B30" s="340" t="s">
        <v>42</v>
      </c>
      <c r="C30" s="345">
        <v>4</v>
      </c>
      <c r="D30" s="364">
        <f>P30</f>
        <v>385318</v>
      </c>
      <c r="E30" s="364">
        <f>S30</f>
        <v>35021</v>
      </c>
      <c r="F30" s="364">
        <f t="shared" si="4"/>
        <v>420339</v>
      </c>
      <c r="G30" s="365"/>
      <c r="H30" s="365">
        <f t="shared" si="5"/>
        <v>420339</v>
      </c>
      <c r="I30" s="366">
        <v>9771820</v>
      </c>
      <c r="J30" s="366">
        <v>4013622</v>
      </c>
      <c r="K30" s="366"/>
      <c r="L30" s="366">
        <v>520553</v>
      </c>
      <c r="M30" s="365">
        <f>I30+K30+J30+L30</f>
        <v>14305995</v>
      </c>
      <c r="N30" s="365">
        <f t="shared" si="7"/>
        <v>14726334</v>
      </c>
      <c r="O30" s="141">
        <f t="shared" si="8"/>
        <v>2.8543356411717946</v>
      </c>
      <c r="P30" s="346">
        <f t="shared" si="0"/>
        <v>385318</v>
      </c>
      <c r="Q30" s="446">
        <v>34523</v>
      </c>
      <c r="R30" s="342">
        <v>350795</v>
      </c>
      <c r="S30" s="184">
        <f t="shared" si="9"/>
        <v>35021</v>
      </c>
      <c r="T30" s="349">
        <v>21931</v>
      </c>
      <c r="U30" s="342">
        <v>13090</v>
      </c>
      <c r="V30" s="343"/>
      <c r="W30" s="316">
        <v>420746</v>
      </c>
      <c r="X30" s="344"/>
      <c r="Z30" s="344">
        <f t="shared" si="2"/>
        <v>56454</v>
      </c>
      <c r="AA30" s="344">
        <f t="shared" si="3"/>
        <v>363885</v>
      </c>
      <c r="AB30" s="344"/>
    </row>
    <row r="31" spans="1:28" ht="15.75" customHeight="1">
      <c r="A31" s="339">
        <v>23</v>
      </c>
      <c r="B31" s="340" t="s">
        <v>43</v>
      </c>
      <c r="C31" s="345">
        <v>4</v>
      </c>
      <c r="D31" s="364">
        <f>P31+P29</f>
        <v>130117</v>
      </c>
      <c r="E31" s="364">
        <f>S31+S29</f>
        <v>3914</v>
      </c>
      <c r="F31" s="364">
        <f t="shared" si="4"/>
        <v>134031</v>
      </c>
      <c r="G31" s="365"/>
      <c r="H31" s="365">
        <f t="shared" si="5"/>
        <v>134031</v>
      </c>
      <c r="I31" s="366">
        <v>6699061</v>
      </c>
      <c r="J31" s="366">
        <v>3842094</v>
      </c>
      <c r="K31" s="366"/>
      <c r="L31" s="366">
        <v>535055</v>
      </c>
      <c r="M31" s="365">
        <f t="shared" si="6"/>
        <v>11076210</v>
      </c>
      <c r="N31" s="365">
        <f t="shared" si="7"/>
        <v>11210241</v>
      </c>
      <c r="O31" s="141">
        <f t="shared" si="8"/>
        <v>1.1956121193112619</v>
      </c>
      <c r="P31" s="346">
        <f t="shared" si="0"/>
        <v>86026</v>
      </c>
      <c r="Q31" s="446">
        <v>15665</v>
      </c>
      <c r="R31" s="342">
        <v>70361</v>
      </c>
      <c r="S31" s="184">
        <f t="shared" si="9"/>
        <v>2651</v>
      </c>
      <c r="T31" s="348">
        <v>1671</v>
      </c>
      <c r="U31" s="342">
        <v>980</v>
      </c>
      <c r="V31" s="343"/>
      <c r="W31" s="316">
        <v>88129</v>
      </c>
      <c r="X31" s="344"/>
      <c r="Z31" s="344">
        <f t="shared" si="2"/>
        <v>17336</v>
      </c>
      <c r="AA31" s="344">
        <f t="shared" si="3"/>
        <v>71341</v>
      </c>
      <c r="AB31" s="344"/>
    </row>
    <row r="32" spans="1:28" ht="15">
      <c r="A32" s="339">
        <v>24</v>
      </c>
      <c r="B32" s="340" t="s">
        <v>44</v>
      </c>
      <c r="C32" s="345">
        <v>3</v>
      </c>
      <c r="D32" s="364">
        <f>P32+P9</f>
        <v>65945</v>
      </c>
      <c r="E32" s="364">
        <f>S32+S9</f>
        <v>9828</v>
      </c>
      <c r="F32" s="364">
        <f t="shared" si="4"/>
        <v>75773</v>
      </c>
      <c r="G32" s="365"/>
      <c r="H32" s="365">
        <f t="shared" si="5"/>
        <v>75773</v>
      </c>
      <c r="I32" s="366">
        <v>0</v>
      </c>
      <c r="J32" s="366">
        <v>2083104</v>
      </c>
      <c r="K32" s="366"/>
      <c r="L32" s="366">
        <v>1924596</v>
      </c>
      <c r="M32" s="365">
        <f t="shared" si="6"/>
        <v>4007700</v>
      </c>
      <c r="N32" s="365">
        <f t="shared" si="7"/>
        <v>4083473</v>
      </c>
      <c r="O32" s="141">
        <f t="shared" si="8"/>
        <v>1.8556018369657394</v>
      </c>
      <c r="P32" s="346">
        <f t="shared" si="0"/>
        <v>60882</v>
      </c>
      <c r="Q32" s="446">
        <v>-1333</v>
      </c>
      <c r="R32" s="342">
        <v>62215</v>
      </c>
      <c r="S32" s="184">
        <f t="shared" si="9"/>
        <v>3784</v>
      </c>
      <c r="T32" s="342">
        <v>2766</v>
      </c>
      <c r="U32" s="342">
        <v>1018</v>
      </c>
      <c r="V32" s="343"/>
      <c r="W32" s="316">
        <v>63838</v>
      </c>
      <c r="X32" s="344"/>
      <c r="Z32" s="344">
        <f t="shared" si="2"/>
        <v>1433</v>
      </c>
      <c r="AA32" s="344">
        <f t="shared" si="3"/>
        <v>63233</v>
      </c>
      <c r="AB32" s="344"/>
    </row>
    <row r="33" spans="1:28" ht="15">
      <c r="A33" s="339">
        <v>25</v>
      </c>
      <c r="B33" s="340" t="s">
        <v>45</v>
      </c>
      <c r="C33" s="345">
        <v>3</v>
      </c>
      <c r="D33" s="364">
        <f>P33</f>
        <v>21320</v>
      </c>
      <c r="E33" s="364">
        <f>S33</f>
        <v>3067</v>
      </c>
      <c r="F33" s="364">
        <f t="shared" si="4"/>
        <v>24387</v>
      </c>
      <c r="G33" s="365"/>
      <c r="H33" s="365">
        <f t="shared" si="5"/>
        <v>24387</v>
      </c>
      <c r="I33" s="366">
        <v>0</v>
      </c>
      <c r="J33" s="366">
        <v>2896902</v>
      </c>
      <c r="K33" s="366"/>
      <c r="L33" s="366">
        <v>843673</v>
      </c>
      <c r="M33" s="365">
        <f t="shared" si="6"/>
        <v>3740575</v>
      </c>
      <c r="N33" s="365">
        <f t="shared" si="7"/>
        <v>3764962</v>
      </c>
      <c r="O33" s="141">
        <f t="shared" si="8"/>
        <v>0.6477356212360178</v>
      </c>
      <c r="P33" s="346">
        <f t="shared" si="0"/>
        <v>21320</v>
      </c>
      <c r="Q33" s="446">
        <v>21320</v>
      </c>
      <c r="R33" s="342">
        <v>0</v>
      </c>
      <c r="S33" s="184">
        <f t="shared" si="9"/>
        <v>3067</v>
      </c>
      <c r="T33" s="342">
        <v>3067</v>
      </c>
      <c r="U33" s="342">
        <v>0</v>
      </c>
      <c r="V33" s="343"/>
      <c r="W33" s="316">
        <v>24440</v>
      </c>
      <c r="X33" s="344"/>
      <c r="Z33" s="344">
        <f t="shared" si="2"/>
        <v>24387</v>
      </c>
      <c r="AA33" s="344">
        <f t="shared" si="3"/>
        <v>0</v>
      </c>
      <c r="AB33" s="344"/>
    </row>
    <row r="34" spans="1:28" ht="15">
      <c r="A34" s="339">
        <v>26</v>
      </c>
      <c r="B34" s="340" t="s">
        <v>46</v>
      </c>
      <c r="C34" s="345">
        <v>3</v>
      </c>
      <c r="D34" s="364">
        <f>P34</f>
        <v>13794</v>
      </c>
      <c r="E34" s="364">
        <f>S34</f>
        <v>1469</v>
      </c>
      <c r="F34" s="364">
        <f t="shared" si="4"/>
        <v>15263</v>
      </c>
      <c r="G34" s="365"/>
      <c r="H34" s="365">
        <f t="shared" si="5"/>
        <v>15263</v>
      </c>
      <c r="I34" s="366">
        <v>872827</v>
      </c>
      <c r="J34" s="366">
        <v>1400845</v>
      </c>
      <c r="K34" s="366"/>
      <c r="L34" s="366"/>
      <c r="M34" s="365">
        <f>I34+K34+J34+L34</f>
        <v>2273672</v>
      </c>
      <c r="N34" s="365">
        <f t="shared" si="7"/>
        <v>2288935</v>
      </c>
      <c r="O34" s="141">
        <f t="shared" si="8"/>
        <v>0.6668166636448829</v>
      </c>
      <c r="P34" s="346">
        <f t="shared" si="0"/>
        <v>13794</v>
      </c>
      <c r="Q34" s="446">
        <v>440</v>
      </c>
      <c r="R34" s="342">
        <v>13354</v>
      </c>
      <c r="S34" s="184">
        <f t="shared" si="9"/>
        <v>1469</v>
      </c>
      <c r="T34" s="342">
        <v>1469</v>
      </c>
      <c r="U34" s="342">
        <v>0</v>
      </c>
      <c r="V34" s="343"/>
      <c r="W34" s="316">
        <v>15433</v>
      </c>
      <c r="X34" s="344"/>
      <c r="Z34" s="344">
        <f t="shared" si="2"/>
        <v>1909</v>
      </c>
      <c r="AA34" s="344">
        <f t="shared" si="3"/>
        <v>13354</v>
      </c>
      <c r="AB34" s="344"/>
    </row>
    <row r="35" spans="1:28" ht="15.75">
      <c r="A35" s="339"/>
      <c r="B35" s="27" t="s">
        <v>47</v>
      </c>
      <c r="C35" s="339">
        <v>4</v>
      </c>
      <c r="D35" s="367">
        <f>SUM(D9:D34)</f>
        <v>2535881</v>
      </c>
      <c r="E35" s="367">
        <f>SUM(E9:E34)</f>
        <v>165932</v>
      </c>
      <c r="F35" s="367">
        <f>SUM(F9:F34)</f>
        <v>2701813</v>
      </c>
      <c r="G35" s="365">
        <f aca="true" t="shared" si="10" ref="G35:L35">SUM(G9:G34)</f>
        <v>0</v>
      </c>
      <c r="H35" s="365">
        <f t="shared" si="10"/>
        <v>2701813</v>
      </c>
      <c r="I35" s="366">
        <f t="shared" si="10"/>
        <v>74505050</v>
      </c>
      <c r="J35" s="366">
        <f t="shared" si="10"/>
        <v>59342123</v>
      </c>
      <c r="K35" s="366">
        <f t="shared" si="10"/>
        <v>1367658</v>
      </c>
      <c r="L35" s="366">
        <f t="shared" si="10"/>
        <v>10570054</v>
      </c>
      <c r="M35" s="365">
        <f>SUM(M9:M34)</f>
        <v>145784885</v>
      </c>
      <c r="N35" s="365">
        <f>SUM(N9:N34)</f>
        <v>148486698</v>
      </c>
      <c r="O35" s="141">
        <f t="shared" si="8"/>
        <v>1.819565682577169</v>
      </c>
      <c r="P35" s="346">
        <f aca="true" t="shared" si="11" ref="P35:U35">SUM(P9:P34)</f>
        <v>2535881</v>
      </c>
      <c r="Q35" s="21">
        <f t="shared" si="11"/>
        <v>435904</v>
      </c>
      <c r="R35" s="21">
        <f t="shared" si="11"/>
        <v>2099977</v>
      </c>
      <c r="S35" s="184">
        <f t="shared" si="11"/>
        <v>165932</v>
      </c>
      <c r="T35" s="21">
        <f t="shared" si="11"/>
        <v>115315</v>
      </c>
      <c r="U35" s="184">
        <f t="shared" si="11"/>
        <v>50617</v>
      </c>
      <c r="V35" s="343"/>
      <c r="W35" s="316"/>
      <c r="Z35" s="344"/>
      <c r="AA35" s="344"/>
      <c r="AB35" s="344"/>
    </row>
    <row r="36" spans="1:28" ht="15">
      <c r="A36" s="185">
        <v>27</v>
      </c>
      <c r="B36" s="28" t="s">
        <v>48</v>
      </c>
      <c r="C36" s="185"/>
      <c r="D36" s="365"/>
      <c r="E36" s="365"/>
      <c r="F36" s="365"/>
      <c r="G36" s="365">
        <v>85095</v>
      </c>
      <c r="H36" s="365">
        <f t="shared" si="5"/>
        <v>85095</v>
      </c>
      <c r="I36" s="366">
        <v>7685827</v>
      </c>
      <c r="J36" s="366">
        <v>3564544</v>
      </c>
      <c r="K36" s="366"/>
      <c r="L36" s="366">
        <v>917353</v>
      </c>
      <c r="M36" s="365">
        <f>I36+K36+J36+L36</f>
        <v>12167724</v>
      </c>
      <c r="N36" s="365">
        <f t="shared" si="7"/>
        <v>12252819</v>
      </c>
      <c r="O36" s="372" t="s">
        <v>130</v>
      </c>
      <c r="AB36" s="344"/>
    </row>
    <row r="37" spans="1:28" ht="15">
      <c r="A37" s="185">
        <v>28</v>
      </c>
      <c r="B37" s="28" t="s">
        <v>49</v>
      </c>
      <c r="C37" s="185"/>
      <c r="D37" s="365"/>
      <c r="E37" s="365"/>
      <c r="F37" s="365"/>
      <c r="G37" s="365">
        <v>95788</v>
      </c>
      <c r="H37" s="365">
        <f t="shared" si="5"/>
        <v>95788</v>
      </c>
      <c r="I37" s="366">
        <v>6124823</v>
      </c>
      <c r="J37" s="366">
        <v>3509471</v>
      </c>
      <c r="K37" s="366"/>
      <c r="L37" s="366">
        <v>424603</v>
      </c>
      <c r="M37" s="365">
        <f>I37+K37+J37+L37</f>
        <v>10058897</v>
      </c>
      <c r="N37" s="365">
        <f t="shared" si="7"/>
        <v>10154685</v>
      </c>
      <c r="O37" s="372" t="s">
        <v>130</v>
      </c>
      <c r="Q37" s="350"/>
      <c r="R37" s="350"/>
      <c r="S37" s="344"/>
      <c r="T37" s="344"/>
      <c r="U37" s="344"/>
      <c r="Z37" s="344"/>
      <c r="AB37" s="344"/>
    </row>
    <row r="38" spans="1:28" ht="15">
      <c r="A38" s="185"/>
      <c r="B38" s="28" t="s">
        <v>50</v>
      </c>
      <c r="C38" s="185">
        <v>4</v>
      </c>
      <c r="D38" s="365">
        <f aca="true" t="shared" si="12" ref="D38:J38">SUM(D35:D37)</f>
        <v>2535881</v>
      </c>
      <c r="E38" s="365">
        <f t="shared" si="12"/>
        <v>165932</v>
      </c>
      <c r="F38" s="365">
        <f t="shared" si="12"/>
        <v>2701813</v>
      </c>
      <c r="G38" s="365">
        <f t="shared" si="12"/>
        <v>180883</v>
      </c>
      <c r="H38" s="365">
        <f t="shared" si="12"/>
        <v>2882696</v>
      </c>
      <c r="I38" s="366">
        <f t="shared" si="12"/>
        <v>88315700</v>
      </c>
      <c r="J38" s="366">
        <f t="shared" si="12"/>
        <v>66416138</v>
      </c>
      <c r="K38" s="366">
        <f>SUM(K35:K37)</f>
        <v>1367658</v>
      </c>
      <c r="L38" s="366">
        <f>SUM(L35:L37)</f>
        <v>11912010</v>
      </c>
      <c r="M38" s="365">
        <f>SUM(M35:M37)</f>
        <v>168011506</v>
      </c>
      <c r="N38" s="365">
        <f>SUM(N35:N37)</f>
        <v>170894202</v>
      </c>
      <c r="O38" s="141">
        <f>F38/N38*100</f>
        <v>1.580985761003173</v>
      </c>
      <c r="Q38" s="350"/>
      <c r="S38" s="344"/>
      <c r="T38" s="344"/>
      <c r="U38" s="344"/>
      <c r="Z38" s="344"/>
      <c r="AA38" s="344"/>
      <c r="AB38" s="344"/>
    </row>
    <row r="39" spans="1:28" ht="15">
      <c r="A39" s="28" t="s">
        <v>51</v>
      </c>
      <c r="B39" s="351"/>
      <c r="C39" s="352"/>
      <c r="D39" s="368">
        <f>D38/$N$38*100</f>
        <v>1.4838894300229097</v>
      </c>
      <c r="E39" s="368">
        <f aca="true" t="shared" si="13" ref="E39:N39">E38/$N$38*100</f>
        <v>0.09709633098026345</v>
      </c>
      <c r="F39" s="368">
        <f t="shared" si="13"/>
        <v>1.580985761003173</v>
      </c>
      <c r="G39" s="368">
        <f t="shared" si="13"/>
        <v>0.10584501866248218</v>
      </c>
      <c r="H39" s="368">
        <f t="shared" si="13"/>
        <v>1.6868307796656552</v>
      </c>
      <c r="I39" s="368">
        <f t="shared" si="13"/>
        <v>51.67858181636847</v>
      </c>
      <c r="J39" s="368">
        <f t="shared" si="13"/>
        <v>38.86389194175236</v>
      </c>
      <c r="K39" s="368">
        <f t="shared" si="13"/>
        <v>0.8002951440096254</v>
      </c>
      <c r="L39" s="368">
        <f t="shared" si="13"/>
        <v>6.970400318203891</v>
      </c>
      <c r="M39" s="368">
        <f t="shared" si="13"/>
        <v>98.31316922033434</v>
      </c>
      <c r="N39" s="368">
        <f t="shared" si="13"/>
        <v>100</v>
      </c>
      <c r="O39" s="353"/>
      <c r="Z39" s="344"/>
      <c r="AA39" s="344"/>
      <c r="AB39" s="344"/>
    </row>
    <row r="40" spans="1:17" ht="15">
      <c r="A40" s="162"/>
      <c r="B40" s="354"/>
      <c r="C40" s="355"/>
      <c r="D40" s="369"/>
      <c r="E40" s="369"/>
      <c r="F40" s="369"/>
      <c r="G40" s="369"/>
      <c r="H40" s="369"/>
      <c r="I40" s="370"/>
      <c r="J40" s="369"/>
      <c r="K40" s="369"/>
      <c r="L40" s="369"/>
      <c r="M40" s="369"/>
      <c r="N40" s="369"/>
      <c r="O40" s="356"/>
      <c r="Q40" s="344"/>
    </row>
    <row r="41" spans="1:15" ht="15">
      <c r="A41" s="28" t="str">
        <f>'Anne-6'!A42</f>
        <v>Conn. As on 28.02.2013</v>
      </c>
      <c r="B41" s="351"/>
      <c r="C41" s="352">
        <v>4</v>
      </c>
      <c r="D41" s="371">
        <v>2554693</v>
      </c>
      <c r="E41" s="365">
        <v>166469</v>
      </c>
      <c r="F41" s="365">
        <v>2721162</v>
      </c>
      <c r="G41" s="371">
        <v>182739</v>
      </c>
      <c r="H41" s="365">
        <v>2903901</v>
      </c>
      <c r="I41" s="366">
        <v>85630550</v>
      </c>
      <c r="J41" s="371">
        <v>66989775</v>
      </c>
      <c r="K41" s="371">
        <v>1444026</v>
      </c>
      <c r="L41" s="371">
        <v>14033836</v>
      </c>
      <c r="M41" s="371">
        <v>168098187</v>
      </c>
      <c r="N41" s="365">
        <v>171002088</v>
      </c>
      <c r="O41" s="150">
        <f>F41/N41*100</f>
        <v>1.5913033763657904</v>
      </c>
    </row>
    <row r="42" spans="1:15" ht="15">
      <c r="A42" s="28" t="str">
        <f>'Anne-6'!A43</f>
        <v>Addition during Mar 2013</v>
      </c>
      <c r="B42" s="357"/>
      <c r="C42" s="358">
        <v>2</v>
      </c>
      <c r="D42" s="371">
        <f>D38-D41</f>
        <v>-18812</v>
      </c>
      <c r="E42" s="371">
        <f>E38-E41</f>
        <v>-537</v>
      </c>
      <c r="F42" s="371">
        <f>F38-F41</f>
        <v>-19349</v>
      </c>
      <c r="G42" s="371">
        <f>G38-G41</f>
        <v>-1856</v>
      </c>
      <c r="H42" s="371">
        <f>H38-H41</f>
        <v>-21205</v>
      </c>
      <c r="I42" s="371">
        <f aca="true" t="shared" si="14" ref="I42:N42">I38-I41</f>
        <v>2685150</v>
      </c>
      <c r="J42" s="371">
        <f t="shared" si="14"/>
        <v>-573637</v>
      </c>
      <c r="K42" s="371">
        <f t="shared" si="14"/>
        <v>-76368</v>
      </c>
      <c r="L42" s="371">
        <f t="shared" si="14"/>
        <v>-2121826</v>
      </c>
      <c r="M42" s="371">
        <f>M38-M41</f>
        <v>-86681</v>
      </c>
      <c r="N42" s="371">
        <f t="shared" si="14"/>
        <v>-107886</v>
      </c>
      <c r="O42" s="413" t="s">
        <v>130</v>
      </c>
    </row>
    <row r="43" spans="1:15" ht="15">
      <c r="A43" s="28" t="str">
        <f>'Anne-6'!A44</f>
        <v>Conn. As on 31.03.2012</v>
      </c>
      <c r="B43" s="357"/>
      <c r="C43" s="358">
        <v>4</v>
      </c>
      <c r="D43" s="365">
        <v>3785997</v>
      </c>
      <c r="E43" s="365">
        <v>217917</v>
      </c>
      <c r="F43" s="365">
        <f>SUM(D43:E43)</f>
        <v>4003914</v>
      </c>
      <c r="G43" s="365">
        <v>250911</v>
      </c>
      <c r="H43" s="365">
        <v>4254825</v>
      </c>
      <c r="I43" s="366">
        <v>121205156</v>
      </c>
      <c r="J43" s="366">
        <v>81745797</v>
      </c>
      <c r="K43" s="366">
        <v>1331392</v>
      </c>
      <c r="L43" s="366">
        <v>15803039</v>
      </c>
      <c r="M43" s="371">
        <v>220085384</v>
      </c>
      <c r="N43" s="365">
        <v>224340209</v>
      </c>
      <c r="O43" s="150">
        <f>F43/N43*100</f>
        <v>1.7847509449364913</v>
      </c>
    </row>
    <row r="44" spans="1:15" ht="15">
      <c r="A44" s="28" t="str">
        <f>'Anne-6'!A45</f>
        <v>Addition during 2012-13</v>
      </c>
      <c r="B44" s="359"/>
      <c r="C44" s="360">
        <v>2</v>
      </c>
      <c r="D44" s="371">
        <f>D38-D43</f>
        <v>-1250116</v>
      </c>
      <c r="E44" s="371">
        <f>E38-E43</f>
        <v>-51985</v>
      </c>
      <c r="F44" s="371">
        <f>F38-F43</f>
        <v>-1302101</v>
      </c>
      <c r="G44" s="371">
        <f>G38-G43</f>
        <v>-70028</v>
      </c>
      <c r="H44" s="371">
        <f aca="true" t="shared" si="15" ref="H44:M44">H38-H43</f>
        <v>-1372129</v>
      </c>
      <c r="I44" s="371">
        <f t="shared" si="15"/>
        <v>-32889456</v>
      </c>
      <c r="J44" s="371">
        <f t="shared" si="15"/>
        <v>-15329659</v>
      </c>
      <c r="K44" s="371">
        <f t="shared" si="15"/>
        <v>36266</v>
      </c>
      <c r="L44" s="371">
        <f t="shared" si="15"/>
        <v>-3891029</v>
      </c>
      <c r="M44" s="371">
        <f t="shared" si="15"/>
        <v>-52073878</v>
      </c>
      <c r="N44" s="371">
        <f>N38-N43</f>
        <v>-53446007</v>
      </c>
      <c r="O44" s="413" t="s">
        <v>130</v>
      </c>
    </row>
    <row r="45" spans="2:15" ht="15">
      <c r="B45" s="34"/>
      <c r="C45" s="34"/>
      <c r="I45" s="361"/>
      <c r="M45" s="74"/>
      <c r="O45" s="74"/>
    </row>
    <row r="46" spans="2:7" ht="15">
      <c r="B46" s="34"/>
      <c r="C46" s="34"/>
      <c r="D46" s="344"/>
      <c r="E46" s="344"/>
      <c r="F46" s="344"/>
      <c r="G46" s="344"/>
    </row>
    <row r="47" spans="2:9" ht="15">
      <c r="B47" s="34"/>
      <c r="C47" s="34"/>
      <c r="D47" s="344"/>
      <c r="E47" s="344"/>
      <c r="F47" s="344"/>
      <c r="I47" s="362"/>
    </row>
    <row r="48" spans="2:16" ht="15.75">
      <c r="B48" s="34"/>
      <c r="C48" s="34"/>
      <c r="D48" s="344"/>
      <c r="E48" s="344"/>
      <c r="F48" s="344"/>
      <c r="M48" s="344"/>
      <c r="P48" s="29"/>
    </row>
    <row r="49" spans="2:9" ht="15">
      <c r="B49" s="34"/>
      <c r="C49" s="34"/>
      <c r="D49" s="344"/>
      <c r="E49" s="344"/>
      <c r="F49" s="344"/>
      <c r="G49" s="344"/>
      <c r="I49" s="362"/>
    </row>
    <row r="50" ht="15">
      <c r="I50" s="362"/>
    </row>
  </sheetData>
  <sheetProtection/>
  <mergeCells count="18">
    <mergeCell ref="J7:J8"/>
    <mergeCell ref="A6:A8"/>
    <mergeCell ref="B6:B8"/>
    <mergeCell ref="C6:C8"/>
    <mergeCell ref="H7:H8"/>
    <mergeCell ref="D6:H6"/>
    <mergeCell ref="D7:F7"/>
    <mergeCell ref="G7:G8"/>
    <mergeCell ref="I7:I8"/>
    <mergeCell ref="P6:U6"/>
    <mergeCell ref="P7:R7"/>
    <mergeCell ref="S7:U7"/>
    <mergeCell ref="N6:N8"/>
    <mergeCell ref="O6:O8"/>
    <mergeCell ref="M7:M8"/>
    <mergeCell ref="K7:K8"/>
    <mergeCell ref="I6:M6"/>
    <mergeCell ref="L7:L8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SheetLayoutView="100" zoomScalePageLayoutView="0" workbookViewId="0" topLeftCell="A1">
      <pane xSplit="2" ySplit="8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6" sqref="E36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30th April 2013.</v>
      </c>
    </row>
    <row r="3" ht="9" customHeight="1"/>
    <row r="4" spans="2:3" ht="15.75">
      <c r="B4" s="29" t="s">
        <v>245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482" t="s">
        <v>19</v>
      </c>
      <c r="B6" s="482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551" t="s">
        <v>120</v>
      </c>
      <c r="Q6" s="566" t="s">
        <v>1</v>
      </c>
      <c r="R6" s="566"/>
      <c r="S6" s="566"/>
    </row>
    <row r="7" spans="1:19" ht="12.75" customHeight="1">
      <c r="A7" s="482"/>
      <c r="B7" s="482"/>
      <c r="C7" s="577" t="s">
        <v>118</v>
      </c>
      <c r="D7" s="549" t="s">
        <v>96</v>
      </c>
      <c r="E7" s="576" t="s">
        <v>2</v>
      </c>
      <c r="F7" s="548" t="s">
        <v>52</v>
      </c>
      <c r="G7" s="574" t="s">
        <v>17</v>
      </c>
      <c r="H7" s="532" t="s">
        <v>123</v>
      </c>
      <c r="I7" s="570" t="s">
        <v>15</v>
      </c>
      <c r="J7" s="570" t="s">
        <v>16</v>
      </c>
      <c r="K7" s="572" t="s">
        <v>189</v>
      </c>
      <c r="L7" s="572" t="s">
        <v>190</v>
      </c>
      <c r="M7" s="572" t="s">
        <v>209</v>
      </c>
      <c r="N7" s="573" t="s">
        <v>53</v>
      </c>
      <c r="O7" s="483" t="s">
        <v>57</v>
      </c>
      <c r="P7" s="552"/>
      <c r="Q7" s="566"/>
      <c r="R7" s="566"/>
      <c r="S7" s="566"/>
    </row>
    <row r="8" spans="1:19" ht="48" customHeight="1">
      <c r="A8" s="482"/>
      <c r="B8" s="482"/>
      <c r="C8" s="530"/>
      <c r="D8" s="575"/>
      <c r="E8" s="483"/>
      <c r="F8" s="549"/>
      <c r="G8" s="570"/>
      <c r="H8" s="534"/>
      <c r="I8" s="571"/>
      <c r="J8" s="571"/>
      <c r="K8" s="571"/>
      <c r="L8" s="571"/>
      <c r="M8" s="571"/>
      <c r="N8" s="573"/>
      <c r="O8" s="483"/>
      <c r="P8" s="553"/>
      <c r="Q8" s="52" t="s">
        <v>47</v>
      </c>
      <c r="R8" s="45" t="s">
        <v>87</v>
      </c>
      <c r="S8" s="409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14251</v>
      </c>
      <c r="R9" s="327">
        <v>8278</v>
      </c>
      <c r="S9" s="327">
        <v>5973</v>
      </c>
      <c r="U9" s="2">
        <v>13950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1848510</v>
      </c>
      <c r="E10" s="8"/>
      <c r="F10" s="8">
        <f aca="true" t="shared" si="1" ref="F10:F37">SUM(D10:E10)</f>
        <v>1848510</v>
      </c>
      <c r="G10" s="70">
        <v>125844</v>
      </c>
      <c r="H10" s="70">
        <f>G10</f>
        <v>125844</v>
      </c>
      <c r="I10" s="70">
        <v>89345</v>
      </c>
      <c r="J10" s="70">
        <v>170204</v>
      </c>
      <c r="K10" s="8"/>
      <c r="L10" s="8"/>
      <c r="M10" s="8">
        <v>5430</v>
      </c>
      <c r="N10" s="8">
        <f>M10+L10+J10+I10+K10+H10</f>
        <v>390823</v>
      </c>
      <c r="O10" s="8">
        <f t="shared" si="0"/>
        <v>2239333</v>
      </c>
      <c r="P10" s="138">
        <f>D10/O10*100</f>
        <v>82.54734780401128</v>
      </c>
      <c r="Q10" s="8">
        <f aca="true" t="shared" si="2" ref="Q10:Q34">R10+S10</f>
        <v>1848510</v>
      </c>
      <c r="R10" s="327">
        <v>1234931</v>
      </c>
      <c r="S10" s="327">
        <v>613579</v>
      </c>
      <c r="U10" s="2">
        <v>1857263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193915</v>
      </c>
      <c r="E11" s="8"/>
      <c r="F11" s="8">
        <f t="shared" si="1"/>
        <v>193915</v>
      </c>
      <c r="G11" s="70"/>
      <c r="H11" s="70"/>
      <c r="I11" s="70"/>
      <c r="J11" s="70">
        <v>0</v>
      </c>
      <c r="K11" s="8"/>
      <c r="L11" s="8"/>
      <c r="M11" s="8">
        <v>240</v>
      </c>
      <c r="N11" s="8">
        <f aca="true" t="shared" si="3" ref="N11:N37">M11+L11+J11+I11+K11+H11</f>
        <v>240</v>
      </c>
      <c r="O11" s="8">
        <f t="shared" si="0"/>
        <v>194155</v>
      </c>
      <c r="P11" s="138">
        <f aca="true" t="shared" si="4" ref="P11:P37">D11/O11*100</f>
        <v>99.87638742242024</v>
      </c>
      <c r="Q11" s="8">
        <f t="shared" si="2"/>
        <v>193915</v>
      </c>
      <c r="R11" s="327">
        <v>156087</v>
      </c>
      <c r="S11" s="327">
        <v>37828</v>
      </c>
      <c r="U11" s="2">
        <v>193484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378374</v>
      </c>
      <c r="E12" s="8"/>
      <c r="F12" s="8">
        <f t="shared" si="1"/>
        <v>378374</v>
      </c>
      <c r="G12" s="70"/>
      <c r="H12" s="70"/>
      <c r="I12" s="70">
        <v>5004</v>
      </c>
      <c r="J12" s="70">
        <v>10691</v>
      </c>
      <c r="K12" s="8"/>
      <c r="L12" s="8"/>
      <c r="M12" s="8">
        <v>60</v>
      </c>
      <c r="N12" s="8">
        <f t="shared" si="3"/>
        <v>15755</v>
      </c>
      <c r="O12" s="8">
        <f t="shared" si="0"/>
        <v>394129</v>
      </c>
      <c r="P12" s="138">
        <f t="shared" si="4"/>
        <v>96.00257783619068</v>
      </c>
      <c r="Q12" s="8">
        <f t="shared" si="2"/>
        <v>217386</v>
      </c>
      <c r="R12" s="327">
        <v>117906</v>
      </c>
      <c r="S12" s="327">
        <v>99480</v>
      </c>
      <c r="U12" s="2">
        <v>216168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55580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139560</v>
      </c>
      <c r="R13" s="327">
        <v>118903</v>
      </c>
      <c r="S13" s="327">
        <v>20657</v>
      </c>
      <c r="U13" s="2">
        <v>138488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1565727</v>
      </c>
      <c r="E14" s="8"/>
      <c r="F14" s="8">
        <f t="shared" si="1"/>
        <v>1565727</v>
      </c>
      <c r="G14" s="70">
        <v>55473</v>
      </c>
      <c r="H14" s="70">
        <f aca="true" t="shared" si="5" ref="H14:H37">G14</f>
        <v>55473</v>
      </c>
      <c r="I14" s="70">
        <v>99236</v>
      </c>
      <c r="J14" s="70">
        <v>71204</v>
      </c>
      <c r="K14" s="8"/>
      <c r="L14" s="8"/>
      <c r="M14" s="8">
        <v>360</v>
      </c>
      <c r="N14" s="8">
        <f t="shared" si="3"/>
        <v>226273</v>
      </c>
      <c r="O14" s="8">
        <f t="shared" si="0"/>
        <v>1792000</v>
      </c>
      <c r="P14" s="138">
        <f t="shared" si="4"/>
        <v>87.37315848214286</v>
      </c>
      <c r="Q14" s="8">
        <f t="shared" si="2"/>
        <v>1565727</v>
      </c>
      <c r="R14" s="327">
        <v>1204378</v>
      </c>
      <c r="S14" s="327">
        <v>361349</v>
      </c>
      <c r="U14" s="2">
        <v>1565346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504057</v>
      </c>
      <c r="E15" s="8"/>
      <c r="F15" s="8">
        <f t="shared" si="1"/>
        <v>504057</v>
      </c>
      <c r="G15" s="70">
        <v>23959</v>
      </c>
      <c r="H15" s="70">
        <f t="shared" si="5"/>
        <v>23959</v>
      </c>
      <c r="I15" s="70">
        <v>5093</v>
      </c>
      <c r="J15" s="70">
        <v>27365</v>
      </c>
      <c r="K15" s="8"/>
      <c r="L15" s="8"/>
      <c r="M15" s="8"/>
      <c r="N15" s="8">
        <f t="shared" si="3"/>
        <v>56417</v>
      </c>
      <c r="O15" s="8">
        <f t="shared" si="0"/>
        <v>560474</v>
      </c>
      <c r="P15" s="138">
        <f t="shared" si="4"/>
        <v>89.93405581704059</v>
      </c>
      <c r="Q15" s="8">
        <f t="shared" si="2"/>
        <v>504057</v>
      </c>
      <c r="R15" s="327">
        <v>339419</v>
      </c>
      <c r="S15" s="327">
        <v>164638</v>
      </c>
      <c r="U15" s="2">
        <v>505551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273941</v>
      </c>
      <c r="E16" s="8"/>
      <c r="F16" s="8">
        <f t="shared" si="1"/>
        <v>273941</v>
      </c>
      <c r="G16" s="70"/>
      <c r="H16" s="70"/>
      <c r="I16" s="70">
        <v>4485</v>
      </c>
      <c r="J16" s="70">
        <v>2243</v>
      </c>
      <c r="K16" s="8"/>
      <c r="L16" s="8"/>
      <c r="M16" s="8"/>
      <c r="N16" s="8">
        <f t="shared" si="3"/>
        <v>6728</v>
      </c>
      <c r="O16" s="8">
        <f t="shared" si="0"/>
        <v>280669</v>
      </c>
      <c r="P16" s="138">
        <f t="shared" si="4"/>
        <v>97.60287028492637</v>
      </c>
      <c r="Q16" s="8">
        <f t="shared" si="2"/>
        <v>273941</v>
      </c>
      <c r="R16" s="327">
        <v>58171</v>
      </c>
      <c r="S16" s="327">
        <v>215770</v>
      </c>
      <c r="U16" s="2">
        <v>280351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196811</v>
      </c>
      <c r="E17" s="8"/>
      <c r="F17" s="8">
        <f t="shared" si="1"/>
        <v>196811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196811</v>
      </c>
      <c r="P17" s="138">
        <f t="shared" si="4"/>
        <v>100</v>
      </c>
      <c r="Q17" s="8">
        <f t="shared" si="2"/>
        <v>196811</v>
      </c>
      <c r="R17" s="327">
        <v>160763</v>
      </c>
      <c r="S17" s="327">
        <v>36048</v>
      </c>
      <c r="U17" s="2">
        <v>196894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160988</v>
      </c>
      <c r="R18" s="327">
        <v>145492</v>
      </c>
      <c r="S18" s="327">
        <v>15496</v>
      </c>
      <c r="U18" s="2">
        <v>161073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1691273</v>
      </c>
      <c r="E19" s="8"/>
      <c r="F19" s="8">
        <f t="shared" si="1"/>
        <v>1691273</v>
      </c>
      <c r="G19" s="70">
        <v>492441</v>
      </c>
      <c r="H19" s="70">
        <f t="shared" si="5"/>
        <v>492441</v>
      </c>
      <c r="I19" s="70">
        <v>113082</v>
      </c>
      <c r="J19" s="70">
        <v>142998</v>
      </c>
      <c r="K19" s="8"/>
      <c r="L19" s="8"/>
      <c r="M19" s="8">
        <v>3420</v>
      </c>
      <c r="N19" s="8">
        <f t="shared" si="3"/>
        <v>751941</v>
      </c>
      <c r="O19" s="8">
        <f t="shared" si="0"/>
        <v>2443214</v>
      </c>
      <c r="P19" s="138">
        <f t="shared" si="4"/>
        <v>69.22328539374774</v>
      </c>
      <c r="Q19" s="8">
        <f t="shared" si="2"/>
        <v>1691273</v>
      </c>
      <c r="R19" s="327">
        <v>1307288</v>
      </c>
      <c r="S19" s="327">
        <v>383985</v>
      </c>
      <c r="U19" s="2">
        <v>1692804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2943505</v>
      </c>
      <c r="E20" s="8"/>
      <c r="F20" s="8">
        <f t="shared" si="1"/>
        <v>2943505</v>
      </c>
      <c r="G20" s="70">
        <v>55971</v>
      </c>
      <c r="H20" s="70">
        <f>G20</f>
        <v>55971</v>
      </c>
      <c r="I20" s="70">
        <v>54014</v>
      </c>
      <c r="J20" s="70">
        <v>11328</v>
      </c>
      <c r="K20" s="8"/>
      <c r="L20" s="8"/>
      <c r="M20" s="8"/>
      <c r="N20" s="8">
        <f t="shared" si="3"/>
        <v>121313</v>
      </c>
      <c r="O20" s="8">
        <f t="shared" si="0"/>
        <v>3064818</v>
      </c>
      <c r="P20" s="138">
        <f t="shared" si="4"/>
        <v>96.04175517110642</v>
      </c>
      <c r="Q20" s="8">
        <f t="shared" si="2"/>
        <v>2943505</v>
      </c>
      <c r="R20" s="327">
        <v>917588</v>
      </c>
      <c r="S20" s="327">
        <v>2025917</v>
      </c>
      <c r="U20" s="2">
        <v>2954754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835271</v>
      </c>
      <c r="E21" s="8"/>
      <c r="F21" s="8">
        <f t="shared" si="1"/>
        <v>835271</v>
      </c>
      <c r="G21" s="70">
        <v>186519</v>
      </c>
      <c r="H21" s="70">
        <f>G21+G13</f>
        <v>242099</v>
      </c>
      <c r="I21" s="70">
        <v>26956</v>
      </c>
      <c r="J21" s="70">
        <v>15964</v>
      </c>
      <c r="K21" s="8"/>
      <c r="L21" s="8"/>
      <c r="M21" s="8">
        <v>60</v>
      </c>
      <c r="N21" s="8">
        <f t="shared" si="3"/>
        <v>285079</v>
      </c>
      <c r="O21" s="8">
        <f t="shared" si="0"/>
        <v>1120350</v>
      </c>
      <c r="P21" s="138">
        <f t="shared" si="4"/>
        <v>74.55446958539741</v>
      </c>
      <c r="Q21" s="8">
        <f t="shared" si="2"/>
        <v>695711</v>
      </c>
      <c r="R21" s="327">
        <v>557063</v>
      </c>
      <c r="S21" s="327">
        <v>138648</v>
      </c>
      <c r="U21" s="2">
        <v>692532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2046050</v>
      </c>
      <c r="E22" s="8"/>
      <c r="F22" s="8">
        <f t="shared" si="1"/>
        <v>2046050</v>
      </c>
      <c r="G22" s="70">
        <v>70409</v>
      </c>
      <c r="H22" s="70">
        <f t="shared" si="5"/>
        <v>70409</v>
      </c>
      <c r="I22" s="70">
        <v>100784</v>
      </c>
      <c r="J22" s="70">
        <v>246523</v>
      </c>
      <c r="K22" s="8"/>
      <c r="L22" s="8"/>
      <c r="M22" s="8">
        <v>2670</v>
      </c>
      <c r="N22" s="8">
        <f t="shared" si="3"/>
        <v>420386</v>
      </c>
      <c r="O22" s="8">
        <f t="shared" si="0"/>
        <v>2466436</v>
      </c>
      <c r="P22" s="138">
        <f t="shared" si="4"/>
        <v>82.95573045479388</v>
      </c>
      <c r="Q22" s="8">
        <f t="shared" si="2"/>
        <v>2046050</v>
      </c>
      <c r="R22" s="327">
        <v>1468110</v>
      </c>
      <c r="S22" s="327">
        <v>577940</v>
      </c>
      <c r="U22" s="2">
        <v>2065992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189884</v>
      </c>
      <c r="E23" s="8"/>
      <c r="F23" s="8">
        <f t="shared" si="1"/>
        <v>189884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189884</v>
      </c>
      <c r="P23" s="138">
        <f t="shared" si="4"/>
        <v>100</v>
      </c>
      <c r="Q23" s="8">
        <f t="shared" si="2"/>
        <v>124514</v>
      </c>
      <c r="R23" s="327">
        <v>95736</v>
      </c>
      <c r="S23" s="327">
        <v>28778</v>
      </c>
      <c r="U23" s="2">
        <v>139373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>
        <f t="shared" si="1"/>
        <v>0</v>
      </c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65370</v>
      </c>
      <c r="R24" s="327">
        <v>49072</v>
      </c>
      <c r="S24" s="327">
        <v>16298</v>
      </c>
      <c r="U24" s="2">
        <v>77486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364132</v>
      </c>
      <c r="E25" s="8"/>
      <c r="F25" s="8">
        <f t="shared" si="1"/>
        <v>364132</v>
      </c>
      <c r="G25" s="70"/>
      <c r="H25" s="70"/>
      <c r="I25" s="70">
        <v>3501</v>
      </c>
      <c r="J25" s="71">
        <v>6554</v>
      </c>
      <c r="K25" s="8"/>
      <c r="L25" s="8"/>
      <c r="M25" s="8">
        <v>240</v>
      </c>
      <c r="N25" s="8">
        <f t="shared" si="3"/>
        <v>10295</v>
      </c>
      <c r="O25" s="8">
        <f t="shared" si="0"/>
        <v>374427</v>
      </c>
      <c r="P25" s="138">
        <f t="shared" si="4"/>
        <v>97.2504653777639</v>
      </c>
      <c r="Q25" s="8">
        <f>R25+S25</f>
        <v>364132</v>
      </c>
      <c r="R25" s="327">
        <v>256641</v>
      </c>
      <c r="S25" s="327">
        <v>107491</v>
      </c>
      <c r="U25" s="2">
        <v>385096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983646</v>
      </c>
      <c r="E26" s="8"/>
      <c r="F26" s="8">
        <f t="shared" si="1"/>
        <v>983646</v>
      </c>
      <c r="G26" s="70">
        <v>106051</v>
      </c>
      <c r="H26" s="70">
        <f t="shared" si="5"/>
        <v>106051</v>
      </c>
      <c r="I26" s="70">
        <v>25527</v>
      </c>
      <c r="J26" s="70">
        <v>16989</v>
      </c>
      <c r="K26" s="70">
        <v>187642</v>
      </c>
      <c r="L26" s="70"/>
      <c r="M26" s="70">
        <v>300</v>
      </c>
      <c r="N26" s="8">
        <f t="shared" si="3"/>
        <v>336509</v>
      </c>
      <c r="O26" s="8">
        <f t="shared" si="0"/>
        <v>1320155</v>
      </c>
      <c r="P26" s="138">
        <f t="shared" si="4"/>
        <v>74.50988709659093</v>
      </c>
      <c r="Q26" s="8">
        <f t="shared" si="2"/>
        <v>983646</v>
      </c>
      <c r="R26" s="327">
        <v>597529</v>
      </c>
      <c r="S26" s="327">
        <v>386117</v>
      </c>
      <c r="U26" s="2">
        <v>998508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887216</v>
      </c>
      <c r="E27" s="8"/>
      <c r="F27" s="8">
        <f t="shared" si="1"/>
        <v>887216</v>
      </c>
      <c r="G27" s="70">
        <v>39412</v>
      </c>
      <c r="H27" s="70">
        <f>G27</f>
        <v>39412</v>
      </c>
      <c r="I27" s="70">
        <v>24540</v>
      </c>
      <c r="J27" s="71">
        <v>7129</v>
      </c>
      <c r="K27" s="70"/>
      <c r="L27" s="70">
        <v>52474</v>
      </c>
      <c r="M27" s="70">
        <v>240</v>
      </c>
      <c r="N27" s="8">
        <f t="shared" si="3"/>
        <v>123795</v>
      </c>
      <c r="O27" s="8">
        <f t="shared" si="0"/>
        <v>1011011</v>
      </c>
      <c r="P27" s="138">
        <f>D27/O27*100</f>
        <v>87.75532610426593</v>
      </c>
      <c r="Q27" s="8">
        <f t="shared" si="2"/>
        <v>887216</v>
      </c>
      <c r="R27" s="327">
        <v>641109</v>
      </c>
      <c r="S27" s="327">
        <v>246107</v>
      </c>
      <c r="U27" s="2">
        <v>904855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1582503</v>
      </c>
      <c r="E28" s="8"/>
      <c r="F28" s="8">
        <f t="shared" si="1"/>
        <v>1582503</v>
      </c>
      <c r="G28" s="70">
        <v>147793</v>
      </c>
      <c r="H28" s="70">
        <f t="shared" si="5"/>
        <v>147793</v>
      </c>
      <c r="I28" s="70">
        <v>38387</v>
      </c>
      <c r="J28" s="70">
        <v>9246</v>
      </c>
      <c r="K28" s="8"/>
      <c r="L28" s="8"/>
      <c r="M28" s="8">
        <v>2070</v>
      </c>
      <c r="N28" s="8">
        <f t="shared" si="3"/>
        <v>197496</v>
      </c>
      <c r="O28" s="8">
        <f t="shared" si="0"/>
        <v>1779999</v>
      </c>
      <c r="P28" s="138">
        <f t="shared" si="4"/>
        <v>88.90471286781622</v>
      </c>
      <c r="Q28" s="8">
        <f t="shared" si="2"/>
        <v>1582503</v>
      </c>
      <c r="R28" s="327">
        <v>1058146</v>
      </c>
      <c r="S28" s="327">
        <v>524357</v>
      </c>
      <c r="U28" s="2">
        <v>1592207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199911</v>
      </c>
      <c r="R29" s="327">
        <v>153467</v>
      </c>
      <c r="S29" s="327">
        <v>46444</v>
      </c>
      <c r="U29" s="2">
        <v>202800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943196</v>
      </c>
      <c r="E30" s="8"/>
      <c r="F30" s="8">
        <f t="shared" si="1"/>
        <v>943196</v>
      </c>
      <c r="G30" s="70">
        <v>50622</v>
      </c>
      <c r="H30" s="70">
        <f t="shared" si="5"/>
        <v>50622</v>
      </c>
      <c r="I30" s="70">
        <v>40515</v>
      </c>
      <c r="J30" s="71">
        <v>13520</v>
      </c>
      <c r="K30" s="8"/>
      <c r="L30" s="8"/>
      <c r="M30" s="8">
        <v>450</v>
      </c>
      <c r="N30" s="8">
        <f t="shared" si="3"/>
        <v>105107</v>
      </c>
      <c r="O30" s="8">
        <f t="shared" si="0"/>
        <v>1048303</v>
      </c>
      <c r="P30" s="138">
        <f t="shared" si="4"/>
        <v>89.97360495963477</v>
      </c>
      <c r="Q30" s="8">
        <f t="shared" si="2"/>
        <v>943196</v>
      </c>
      <c r="R30" s="327">
        <v>688678</v>
      </c>
      <c r="S30" s="327">
        <v>254518</v>
      </c>
      <c r="U30" s="2">
        <v>947448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728589</v>
      </c>
      <c r="E31" s="8"/>
      <c r="F31" s="8">
        <f t="shared" si="1"/>
        <v>728589</v>
      </c>
      <c r="G31" s="70">
        <v>24339</v>
      </c>
      <c r="H31" s="70">
        <f t="shared" si="5"/>
        <v>24339</v>
      </c>
      <c r="I31" s="70">
        <v>5473</v>
      </c>
      <c r="J31" s="71">
        <v>8507</v>
      </c>
      <c r="K31" s="8"/>
      <c r="L31" s="8"/>
      <c r="M31" s="8">
        <v>210</v>
      </c>
      <c r="N31" s="8">
        <f t="shared" si="3"/>
        <v>38529</v>
      </c>
      <c r="O31" s="8">
        <f t="shared" si="0"/>
        <v>767118</v>
      </c>
      <c r="P31" s="138">
        <f t="shared" si="4"/>
        <v>94.97743502303426</v>
      </c>
      <c r="Q31" s="8">
        <f t="shared" si="2"/>
        <v>528678</v>
      </c>
      <c r="R31" s="327">
        <v>450938</v>
      </c>
      <c r="S31" s="327">
        <v>77740</v>
      </c>
      <c r="U31" s="2">
        <v>529480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542345</v>
      </c>
      <c r="E32" s="8"/>
      <c r="F32" s="8">
        <f t="shared" si="1"/>
        <v>542345</v>
      </c>
      <c r="G32" s="70"/>
      <c r="H32" s="70"/>
      <c r="I32" s="70">
        <v>2075</v>
      </c>
      <c r="J32" s="71">
        <v>3828</v>
      </c>
      <c r="K32" s="8"/>
      <c r="L32" s="8"/>
      <c r="M32" s="8"/>
      <c r="N32" s="8">
        <f t="shared" si="3"/>
        <v>5903</v>
      </c>
      <c r="O32" s="8">
        <f t="shared" si="0"/>
        <v>548248</v>
      </c>
      <c r="P32" s="138">
        <f t="shared" si="4"/>
        <v>98.92329748580934</v>
      </c>
      <c r="Q32" s="8">
        <f t="shared" si="2"/>
        <v>528094</v>
      </c>
      <c r="R32" s="327">
        <v>280151</v>
      </c>
      <c r="S32" s="327">
        <v>247943</v>
      </c>
      <c r="U32" s="2">
        <v>528844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930944</v>
      </c>
      <c r="E33" s="8"/>
      <c r="F33" s="8">
        <f t="shared" si="1"/>
        <v>930944</v>
      </c>
      <c r="G33" s="70">
        <v>94051</v>
      </c>
      <c r="H33" s="70">
        <f t="shared" si="5"/>
        <v>94051</v>
      </c>
      <c r="I33" s="70">
        <v>81241</v>
      </c>
      <c r="J33" s="70">
        <v>36579</v>
      </c>
      <c r="K33" s="8"/>
      <c r="L33" s="8"/>
      <c r="M33" s="8">
        <v>1440</v>
      </c>
      <c r="N33" s="8">
        <f t="shared" si="3"/>
        <v>213311</v>
      </c>
      <c r="O33" s="8">
        <f t="shared" si="0"/>
        <v>1144255</v>
      </c>
      <c r="P33" s="138">
        <f t="shared" si="4"/>
        <v>81.35808888752945</v>
      </c>
      <c r="Q33" s="8">
        <f t="shared" si="2"/>
        <v>930944</v>
      </c>
      <c r="R33" s="327">
        <v>930944</v>
      </c>
      <c r="S33" s="327">
        <v>0</v>
      </c>
      <c r="U33" s="2">
        <v>933919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816173</v>
      </c>
      <c r="E34" s="8"/>
      <c r="F34" s="8">
        <f t="shared" si="1"/>
        <v>816173</v>
      </c>
      <c r="G34" s="70">
        <v>338710</v>
      </c>
      <c r="H34" s="70">
        <f t="shared" si="5"/>
        <v>338710</v>
      </c>
      <c r="I34" s="70">
        <v>109128</v>
      </c>
      <c r="J34" s="70">
        <v>65565</v>
      </c>
      <c r="K34" s="8"/>
      <c r="L34" s="8"/>
      <c r="M34" s="8"/>
      <c r="N34" s="8">
        <f t="shared" si="3"/>
        <v>513403</v>
      </c>
      <c r="O34" s="8">
        <f t="shared" si="0"/>
        <v>1329576</v>
      </c>
      <c r="P34" s="138">
        <f t="shared" si="4"/>
        <v>61.38596063707528</v>
      </c>
      <c r="Q34" s="8">
        <f t="shared" si="2"/>
        <v>816173</v>
      </c>
      <c r="R34" s="327">
        <v>794844</v>
      </c>
      <c r="S34" s="327">
        <v>21329</v>
      </c>
      <c r="U34" s="2">
        <v>816438</v>
      </c>
    </row>
    <row r="35" spans="1:21" ht="15">
      <c r="A35" s="5"/>
      <c r="B35" s="7" t="s">
        <v>47</v>
      </c>
      <c r="C35" s="45">
        <v>1</v>
      </c>
      <c r="D35" s="8">
        <f>SUM(D9:D34)</f>
        <v>20446062</v>
      </c>
      <c r="E35" s="8">
        <f aca="true" t="shared" si="6" ref="E35:M35">SUM(E9:E34)</f>
        <v>0</v>
      </c>
      <c r="F35" s="8">
        <f t="shared" si="6"/>
        <v>20446062</v>
      </c>
      <c r="G35" s="70">
        <f t="shared" si="6"/>
        <v>1867174</v>
      </c>
      <c r="H35" s="70">
        <f t="shared" si="6"/>
        <v>1867174</v>
      </c>
      <c r="I35" s="70">
        <f t="shared" si="6"/>
        <v>828386</v>
      </c>
      <c r="J35" s="70">
        <f t="shared" si="6"/>
        <v>866437</v>
      </c>
      <c r="K35" s="8">
        <f t="shared" si="6"/>
        <v>187642</v>
      </c>
      <c r="L35" s="8">
        <f t="shared" si="6"/>
        <v>52474</v>
      </c>
      <c r="M35" s="8">
        <f t="shared" si="6"/>
        <v>17190</v>
      </c>
      <c r="N35" s="8">
        <f>SUM(N9:N34)</f>
        <v>3819303</v>
      </c>
      <c r="O35" s="8">
        <f>SUM(O9:O34)</f>
        <v>24265365</v>
      </c>
      <c r="P35" s="330">
        <f t="shared" si="4"/>
        <v>84.26026973012769</v>
      </c>
      <c r="Q35" s="31">
        <f>SUM(Q9:Q34)</f>
        <v>20446062</v>
      </c>
      <c r="R35" s="31">
        <f>SUM(R9:R34)</f>
        <v>13791632</v>
      </c>
      <c r="S35" s="31">
        <f>SUM(S9:S34)</f>
        <v>6654430</v>
      </c>
      <c r="U35" s="31">
        <f>SUM(U9:U34)</f>
        <v>20591104</v>
      </c>
    </row>
    <row r="36" spans="1:17" ht="14.25">
      <c r="A36" s="4">
        <v>27</v>
      </c>
      <c r="B36" s="3" t="s">
        <v>48</v>
      </c>
      <c r="C36" s="4"/>
      <c r="D36" s="11"/>
      <c r="E36" s="70">
        <v>1589719</v>
      </c>
      <c r="F36" s="8">
        <f t="shared" si="1"/>
        <v>1589719</v>
      </c>
      <c r="G36" s="70">
        <v>1083699</v>
      </c>
      <c r="H36" s="70">
        <f t="shared" si="5"/>
        <v>1083699</v>
      </c>
      <c r="I36" s="70">
        <v>182876</v>
      </c>
      <c r="J36" s="70">
        <v>91674</v>
      </c>
      <c r="K36" s="8"/>
      <c r="L36" s="8"/>
      <c r="M36" s="8">
        <v>8790</v>
      </c>
      <c r="N36" s="8">
        <f t="shared" si="3"/>
        <v>1367039</v>
      </c>
      <c r="O36" s="8">
        <f t="shared" si="0"/>
        <v>2956758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1867166</v>
      </c>
      <c r="F37" s="8">
        <f t="shared" si="1"/>
        <v>1867166</v>
      </c>
      <c r="G37" s="70">
        <v>332197</v>
      </c>
      <c r="H37" s="70">
        <f t="shared" si="5"/>
        <v>332197</v>
      </c>
      <c r="I37" s="70">
        <v>231364</v>
      </c>
      <c r="J37" s="70">
        <v>547888</v>
      </c>
      <c r="K37" s="8"/>
      <c r="L37" s="8"/>
      <c r="M37" s="8">
        <v>6930</v>
      </c>
      <c r="N37" s="8">
        <f t="shared" si="3"/>
        <v>1118379</v>
      </c>
      <c r="O37" s="8">
        <f t="shared" si="0"/>
        <v>2985545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20446062</v>
      </c>
      <c r="E38" s="8">
        <f t="shared" si="7"/>
        <v>3456885</v>
      </c>
      <c r="F38" s="8">
        <f t="shared" si="7"/>
        <v>23902947</v>
      </c>
      <c r="G38" s="93">
        <f t="shared" si="7"/>
        <v>3283070</v>
      </c>
      <c r="H38" s="70">
        <f t="shared" si="7"/>
        <v>3283070</v>
      </c>
      <c r="I38" s="70">
        <f t="shared" si="7"/>
        <v>1242626</v>
      </c>
      <c r="J38" s="70">
        <f t="shared" si="7"/>
        <v>1505999</v>
      </c>
      <c r="K38" s="8">
        <f t="shared" si="7"/>
        <v>187642</v>
      </c>
      <c r="L38" s="8">
        <f t="shared" si="7"/>
        <v>52474</v>
      </c>
      <c r="M38" s="8">
        <f t="shared" si="7"/>
        <v>32910</v>
      </c>
      <c r="N38" s="8">
        <f t="shared" si="7"/>
        <v>6304721</v>
      </c>
      <c r="O38" s="8">
        <f t="shared" si="7"/>
        <v>30207668</v>
      </c>
      <c r="P38" s="330">
        <f>D38/O38*100</f>
        <v>67.68500633680164</v>
      </c>
      <c r="Q38" s="156"/>
      <c r="R38" s="156"/>
      <c r="S38" s="156"/>
    </row>
    <row r="39" spans="1:21" ht="14.25">
      <c r="A39" s="3" t="s">
        <v>51</v>
      </c>
      <c r="B39" s="3"/>
      <c r="C39" s="4"/>
      <c r="D39" s="139">
        <f>D38/O38*100</f>
        <v>67.68500633680164</v>
      </c>
      <c r="E39" s="139">
        <f>E38/O38*100</f>
        <v>11.443733425565986</v>
      </c>
      <c r="F39" s="139">
        <f>F38/O38*100</f>
        <v>79.12873976236762</v>
      </c>
      <c r="G39" s="139">
        <f>G38/O38*100</f>
        <v>10.868333166267586</v>
      </c>
      <c r="H39" s="139">
        <f>H38/O38*100</f>
        <v>10.868333166267586</v>
      </c>
      <c r="I39" s="139">
        <f>I38/O38*100</f>
        <v>4.113611153300546</v>
      </c>
      <c r="J39" s="139">
        <f>J38/O38*100</f>
        <v>4.985485804465277</v>
      </c>
      <c r="K39" s="139">
        <f>K38/O38*100</f>
        <v>0.6211734053750856</v>
      </c>
      <c r="L39" s="139">
        <f>L38/O38*100</f>
        <v>0.17371086043450953</v>
      </c>
      <c r="M39" s="139"/>
      <c r="N39" s="139">
        <f>N38/O38*100</f>
        <v>20.871260237632377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29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28.02.2013</v>
      </c>
      <c r="B41" s="3"/>
      <c r="C41" s="4">
        <v>1</v>
      </c>
      <c r="D41" s="8">
        <v>20591104</v>
      </c>
      <c r="E41" s="8">
        <v>3455551</v>
      </c>
      <c r="F41" s="8">
        <v>24046655</v>
      </c>
      <c r="G41" s="8">
        <v>3280670</v>
      </c>
      <c r="H41" s="8">
        <v>3280670</v>
      </c>
      <c r="I41" s="8">
        <v>1241637</v>
      </c>
      <c r="J41" s="8">
        <v>1504199</v>
      </c>
      <c r="K41" s="8">
        <v>185721</v>
      </c>
      <c r="L41" s="8">
        <v>51110</v>
      </c>
      <c r="M41" s="8">
        <v>31890</v>
      </c>
      <c r="N41" s="8">
        <v>6295227</v>
      </c>
      <c r="O41" s="8">
        <v>30341882</v>
      </c>
      <c r="P41" s="138">
        <f>D41/O41*100</f>
        <v>67.863634826607</v>
      </c>
      <c r="Q41" s="12"/>
    </row>
    <row r="42" spans="1:16" ht="14.25">
      <c r="A42" s="3" t="str">
        <f>'Anne-7'!A42</f>
        <v>Addition during Mar 2013</v>
      </c>
      <c r="B42" s="108"/>
      <c r="C42" s="320">
        <v>8</v>
      </c>
      <c r="D42" s="8">
        <f aca="true" t="shared" si="8" ref="D42:O42">D38-D41</f>
        <v>-145042</v>
      </c>
      <c r="E42" s="8">
        <f t="shared" si="8"/>
        <v>1334</v>
      </c>
      <c r="F42" s="8">
        <f t="shared" si="8"/>
        <v>-143708</v>
      </c>
      <c r="G42" s="8">
        <f t="shared" si="8"/>
        <v>2400</v>
      </c>
      <c r="H42" s="8">
        <f t="shared" si="8"/>
        <v>2400</v>
      </c>
      <c r="I42" s="8">
        <f t="shared" si="8"/>
        <v>989</v>
      </c>
      <c r="J42" s="8">
        <f t="shared" si="8"/>
        <v>1800</v>
      </c>
      <c r="K42" s="8">
        <f t="shared" si="8"/>
        <v>1921</v>
      </c>
      <c r="L42" s="8">
        <f t="shared" si="8"/>
        <v>1364</v>
      </c>
      <c r="M42" s="8">
        <f t="shared" si="8"/>
        <v>1020</v>
      </c>
      <c r="N42" s="8">
        <f t="shared" si="8"/>
        <v>9494</v>
      </c>
      <c r="O42" s="8">
        <f t="shared" si="8"/>
        <v>-134214</v>
      </c>
      <c r="P42" s="155" t="s">
        <v>130</v>
      </c>
    </row>
    <row r="43" spans="1:16" ht="14.25">
      <c r="A43" s="3" t="str">
        <f>'Anne-7'!A43</f>
        <v>Conn. As on 31.03.2012</v>
      </c>
      <c r="B43" s="108"/>
      <c r="C43" s="4">
        <v>1</v>
      </c>
      <c r="D43" s="8">
        <v>22467732</v>
      </c>
      <c r="E43" s="8">
        <v>3455248</v>
      </c>
      <c r="F43" s="8">
        <v>25922980</v>
      </c>
      <c r="G43" s="8">
        <v>3269949</v>
      </c>
      <c r="H43" s="8">
        <v>3269949</v>
      </c>
      <c r="I43" s="8">
        <v>1269750</v>
      </c>
      <c r="J43" s="8">
        <v>1441370</v>
      </c>
      <c r="K43" s="8">
        <v>200432</v>
      </c>
      <c r="L43" s="8">
        <v>46659</v>
      </c>
      <c r="M43" s="8">
        <v>17850</v>
      </c>
      <c r="N43" s="8">
        <f>6228160+17850</f>
        <v>6246010</v>
      </c>
      <c r="O43" s="8">
        <v>32151140</v>
      </c>
      <c r="P43" s="138">
        <f>D43/O43*100</f>
        <v>69.88160295404766</v>
      </c>
    </row>
    <row r="44" spans="1:16" ht="14.25">
      <c r="A44" s="3" t="str">
        <f>'Anne-7'!A44</f>
        <v>Addition during 2012-13</v>
      </c>
      <c r="B44" s="108"/>
      <c r="C44" s="4">
        <v>8</v>
      </c>
      <c r="D44" s="8">
        <f aca="true" t="shared" si="9" ref="D44:O44">D38-D43</f>
        <v>-2021670</v>
      </c>
      <c r="E44" s="8">
        <f t="shared" si="9"/>
        <v>1637</v>
      </c>
      <c r="F44" s="8">
        <f t="shared" si="9"/>
        <v>-2020033</v>
      </c>
      <c r="G44" s="8">
        <f t="shared" si="9"/>
        <v>13121</v>
      </c>
      <c r="H44" s="8">
        <f t="shared" si="9"/>
        <v>13121</v>
      </c>
      <c r="I44" s="8">
        <f t="shared" si="9"/>
        <v>-27124</v>
      </c>
      <c r="J44" s="8">
        <f t="shared" si="9"/>
        <v>64629</v>
      </c>
      <c r="K44" s="8">
        <f t="shared" si="9"/>
        <v>-12790</v>
      </c>
      <c r="L44" s="8">
        <f t="shared" si="9"/>
        <v>5815</v>
      </c>
      <c r="M44" s="8">
        <f t="shared" si="9"/>
        <v>15060</v>
      </c>
      <c r="N44" s="8">
        <f t="shared" si="9"/>
        <v>58711</v>
      </c>
      <c r="O44" s="8">
        <f t="shared" si="9"/>
        <v>-1943472</v>
      </c>
      <c r="P44" s="155" t="s">
        <v>130</v>
      </c>
    </row>
    <row r="45" spans="1:16" ht="14.25">
      <c r="A45" s="426" t="s">
        <v>246</v>
      </c>
      <c r="B45" s="426"/>
      <c r="C45" s="32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5"/>
    </row>
    <row r="46" spans="1:16" ht="14.25">
      <c r="A46" s="101"/>
      <c r="B46" s="101"/>
      <c r="C46" s="32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25"/>
    </row>
    <row r="47" spans="1:16" ht="14.25">
      <c r="A47" s="101"/>
      <c r="B47" s="101"/>
      <c r="C47" s="32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25"/>
    </row>
    <row r="48" spans="1:16" ht="14.25">
      <c r="A48" s="101"/>
      <c r="B48" s="101"/>
      <c r="C48" s="32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25"/>
    </row>
    <row r="49" spans="1:16" ht="14.25">
      <c r="A49" s="101"/>
      <c r="B49" s="101"/>
      <c r="C49" s="32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25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383799</v>
      </c>
      <c r="O57" s="23">
        <f>O11+O23</f>
        <v>384039</v>
      </c>
    </row>
    <row r="59" ht="14.25">
      <c r="D59" s="23" t="e">
        <f>D44+'Anne-7'!D44+'Anne-7'!#REF!</f>
        <v>#REF!</v>
      </c>
    </row>
  </sheetData>
  <sheetProtection/>
  <mergeCells count="17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Q6:S7"/>
    <mergeCell ref="N7:N8"/>
    <mergeCell ref="O7:O8"/>
    <mergeCell ref="K7:K8"/>
    <mergeCell ref="P6:P8"/>
    <mergeCell ref="M7:M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2013-04-30T06:37:53Z</cp:lastPrinted>
  <dcterms:created xsi:type="dcterms:W3CDTF">2007-06-20T11:07:42Z</dcterms:created>
  <dcterms:modified xsi:type="dcterms:W3CDTF">2013-05-08T10:42:23Z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